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01 - PREFEITURA\OUTUBRO - 2020\PROJETO - RECAPE ASFÁLTICO RECURSOS PRÓPRIOS - 04\"/>
    </mc:Choice>
  </mc:AlternateContent>
  <workbookProtection workbookAlgorithmName="SHA-512" workbookHashValue="tP1tkMksO52BDTVjOTzo2t5QsP8eKiViuP0/ru0GmkIVWpUfyypKQ8ucZ31gsT40CqjN/79RahtOahYbBT4gow==" workbookSaltValue="eAsiBx6nZmNJxpfgg2T+mQ==" workbookSpinCount="100000" lockStructure="1"/>
  <bookViews>
    <workbookView xWindow="0" yWindow="0" windowWidth="24000" windowHeight="10020" tabRatio="801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62913"/>
</workbook>
</file>

<file path=xl/calcChain.xml><?xml version="1.0" encoding="utf-8"?>
<calcChain xmlns="http://schemas.openxmlformats.org/spreadsheetml/2006/main">
  <c r="Q52" i="6" l="1"/>
  <c r="V52" i="6"/>
  <c r="U52" i="6"/>
  <c r="T52" i="6"/>
  <c r="S52" i="6"/>
  <c r="R52" i="6"/>
  <c r="W24" i="6"/>
  <c r="W25" i="6" s="1"/>
  <c r="V24" i="6"/>
  <c r="V25" i="6" s="1"/>
  <c r="R24" i="6"/>
  <c r="R26" i="6" s="1"/>
  <c r="R27" i="6" s="1"/>
  <c r="W26" i="6" l="1"/>
  <c r="W27" i="6" s="1"/>
  <c r="R25" i="6"/>
  <c r="V26" i="6"/>
  <c r="V27" i="6" s="1"/>
  <c r="W31" i="6"/>
  <c r="V31" i="6"/>
  <c r="S54" i="6"/>
  <c r="S55" i="6" s="1"/>
  <c r="S56" i="6" s="1"/>
  <c r="R54" i="6"/>
  <c r="R55" i="6" s="1"/>
  <c r="R56" i="6" s="1"/>
  <c r="Q56" i="6"/>
  <c r="Q55" i="6"/>
  <c r="Q54" i="6"/>
  <c r="R31" i="6"/>
  <c r="R33" i="6" s="1"/>
  <c r="U24" i="6"/>
  <c r="U25" i="6" s="1"/>
  <c r="T24" i="6"/>
  <c r="T31" i="6" s="1"/>
  <c r="T33" i="6" s="1"/>
  <c r="S24" i="6"/>
  <c r="S26" i="6" s="1"/>
  <c r="S27" i="6" s="1"/>
  <c r="Q24" i="6"/>
  <c r="Q31" i="6" s="1"/>
  <c r="Q33" i="6" s="1"/>
  <c r="V33" i="6" l="1"/>
  <c r="V34" i="6" s="1"/>
  <c r="V32" i="6"/>
  <c r="W32" i="6"/>
  <c r="W33" i="6"/>
  <c r="W34" i="6" s="1"/>
  <c r="S25" i="6"/>
  <c r="T26" i="6"/>
  <c r="T27" i="6" s="1"/>
  <c r="T25" i="6"/>
  <c r="U26" i="6"/>
  <c r="U27" i="6" s="1"/>
  <c r="S31" i="6"/>
  <c r="S33" i="6" s="1"/>
  <c r="S34" i="6" s="1"/>
  <c r="U31" i="6"/>
  <c r="U33" i="6" s="1"/>
  <c r="U34" i="6" s="1"/>
  <c r="Q25" i="6"/>
  <c r="Q26" i="6"/>
  <c r="Q27" i="6" s="1"/>
  <c r="R34" i="6"/>
  <c r="R32" i="6"/>
  <c r="T34" i="6"/>
  <c r="T32" i="6"/>
  <c r="Q34" i="6"/>
  <c r="Q32" i="6"/>
  <c r="F25" i="2"/>
  <c r="S32" i="6" l="1"/>
  <c r="U32" i="6"/>
  <c r="C47" i="3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 s="1"/>
  <c r="J21" i="11"/>
  <c r="I21" i="13" s="1"/>
  <c r="D21" i="11"/>
  <c r="A21" i="11" s="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C33" i="4" s="1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J14" i="11" s="1"/>
  <c r="I14" i="13" s="1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8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1" i="4"/>
  <c r="K50" i="4"/>
  <c r="W77" i="10"/>
  <c r="K130" i="4"/>
  <c r="C45" i="4"/>
  <c r="E21" i="13"/>
  <c r="E12" i="13"/>
  <c r="K69" i="10"/>
  <c r="M69" i="10" s="1"/>
  <c r="O69" i="10"/>
  <c r="Q69" i="10" s="1"/>
  <c r="S69" i="10" s="1"/>
  <c r="U69" i="10" s="1"/>
  <c r="W69" i="10" s="1"/>
  <c r="Y69" i="10" s="1"/>
  <c r="AA69" i="10" s="1"/>
  <c r="AC69" i="10" s="1"/>
  <c r="AE69" i="10" s="1"/>
  <c r="A16" i="11"/>
  <c r="A18" i="11"/>
  <c r="K92" i="4"/>
  <c r="K91" i="4"/>
  <c r="K90" i="4"/>
  <c r="C3" i="4"/>
  <c r="T282" i="5"/>
  <c r="T283" i="5"/>
  <c r="T281" i="5"/>
  <c r="K278" i="12"/>
  <c r="K131" i="4"/>
  <c r="E14" i="13"/>
  <c r="A14" i="11"/>
  <c r="O8" i="5"/>
  <c r="A22" i="11" l="1"/>
  <c r="A17" i="11"/>
  <c r="O7" i="11"/>
  <c r="A34" i="4"/>
  <c r="C34" i="4" s="1"/>
  <c r="A15" i="11"/>
  <c r="O7" i="13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E16" i="5" l="1"/>
  <c r="B14" i="11" s="1"/>
  <c r="AD16" i="5"/>
  <c r="AD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A14" i="13" l="1"/>
  <c r="H17" i="6"/>
  <c r="T17" i="5" s="1"/>
  <c r="G17" i="12" s="1"/>
  <c r="AN17" i="6"/>
  <c r="D18" i="5"/>
  <c r="B18" i="12" s="1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AD17" i="6" l="1"/>
  <c r="K11" i="10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X25" i="4" s="1"/>
  <c r="C18" i="4"/>
  <c r="BB12" i="6"/>
  <c r="BC13" i="6"/>
  <c r="C24" i="4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Y61" i="4" l="1"/>
  <c r="I14" i="5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R18" i="6"/>
  <c r="AO18" i="6"/>
  <c r="AY18" i="6"/>
  <c r="BC18" i="6"/>
  <c r="AX18" i="6"/>
  <c r="AH12" i="6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Z18" i="6"/>
  <c r="AQ18" i="6"/>
  <c r="BA18" i="6"/>
  <c r="BB18" i="6"/>
  <c r="G18" i="12"/>
  <c r="X18" i="5"/>
  <c r="AB18" i="6" s="1"/>
  <c r="AG18" i="6" l="1"/>
  <c r="AH18" i="6"/>
  <c r="U109" i="4"/>
  <c r="K112" i="4" s="1"/>
  <c r="AE18" i="6"/>
  <c r="AF18" i="6"/>
  <c r="AD18" i="6"/>
  <c r="AC18" i="6"/>
  <c r="J20" i="12"/>
  <c r="K20" i="12" s="1"/>
  <c r="O14" i="5"/>
  <c r="D14" i="12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R22" i="5" s="1"/>
  <c r="O12" i="10"/>
  <c r="N11" i="10"/>
  <c r="BD12" i="6"/>
  <c r="BE13" i="6"/>
  <c r="BD18" i="6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J112" i="4" l="1"/>
  <c r="AD19" i="6"/>
  <c r="E14" i="6"/>
  <c r="W22" i="5"/>
  <c r="H22" i="12" s="1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G23" i="5" l="1"/>
  <c r="Y18" i="12"/>
  <c r="X18" i="12" s="1"/>
  <c r="AV20" i="6"/>
  <c r="AB20" i="6"/>
  <c r="AF20" i="6"/>
  <c r="AE20" i="6"/>
  <c r="AX20" i="6"/>
  <c r="AH20" i="6"/>
  <c r="AT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K24" i="5" s="1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W18" i="12" l="1"/>
  <c r="T18" i="12" s="1"/>
  <c r="L23" i="12"/>
  <c r="K23" i="12" s="1"/>
  <c r="AG21" i="6"/>
  <c r="AC21" i="6"/>
  <c r="F24" i="5"/>
  <c r="A23" i="6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AA20" i="5"/>
  <c r="C20" i="6"/>
  <c r="O20" i="5"/>
  <c r="U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V18" i="12" l="1"/>
  <c r="N20" i="12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X23" i="5"/>
  <c r="AA21" i="5"/>
  <c r="AB21" i="5"/>
  <c r="C21" i="6"/>
  <c r="O21" i="5"/>
  <c r="B26" i="7"/>
  <c r="C27" i="7"/>
  <c r="E20" i="6"/>
  <c r="D20" i="12"/>
  <c r="H24" i="6"/>
  <c r="T24" i="5" s="1"/>
  <c r="C21" i="12"/>
  <c r="O21" i="12"/>
  <c r="M21" i="12"/>
  <c r="AO21" i="12"/>
  <c r="Y20" i="12"/>
  <c r="A24" i="6"/>
  <c r="Y21" i="12" l="1"/>
  <c r="W21" i="12" s="1"/>
  <c r="AM23" i="6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E21" i="6"/>
  <c r="D21" i="12"/>
  <c r="I23" i="12"/>
  <c r="L23" i="5"/>
  <c r="AM23" i="5"/>
  <c r="Z23" i="5"/>
  <c r="A25" i="6"/>
  <c r="H25" i="6"/>
  <c r="T25" i="5" s="1"/>
  <c r="X20" i="12"/>
  <c r="W20" i="12"/>
  <c r="M24" i="6"/>
  <c r="AI24" i="6" s="1"/>
  <c r="R11" i="9"/>
  <c r="S12" i="9"/>
  <c r="T19" i="12"/>
  <c r="U19" i="12"/>
  <c r="V19" i="12"/>
  <c r="X21" i="12" l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C24" i="6"/>
  <c r="H26" i="6"/>
  <c r="T26" i="5" s="1"/>
  <c r="AB23" i="5"/>
  <c r="C23" i="12"/>
  <c r="O23" i="12"/>
  <c r="M23" i="12"/>
  <c r="AO23" i="12"/>
  <c r="T21" i="12"/>
  <c r="U21" i="12"/>
  <c r="V21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C29" i="7"/>
  <c r="B28" i="7"/>
  <c r="L27" i="12"/>
  <c r="J27" i="12"/>
  <c r="AK24" i="6"/>
  <c r="AM24" i="5"/>
  <c r="L24" i="5"/>
  <c r="I24" i="12"/>
  <c r="Z24" i="5"/>
  <c r="AB25" i="6" l="1"/>
  <c r="AQ25" i="6"/>
  <c r="W28" i="5"/>
  <c r="H28" i="12" s="1"/>
  <c r="Y23" i="12"/>
  <c r="W23" i="12" s="1"/>
  <c r="AG25" i="6"/>
  <c r="D28" i="5"/>
  <c r="B28" i="12" s="1"/>
  <c r="J28" i="5"/>
  <c r="C29" i="5"/>
  <c r="B29" i="6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BD26" i="6"/>
  <c r="BE26" i="6"/>
  <c r="BB26" i="6"/>
  <c r="AM26" i="6"/>
  <c r="AS26" i="6"/>
  <c r="AO25" i="6"/>
  <c r="K27" i="12"/>
  <c r="AK26" i="6"/>
  <c r="BF26" i="6"/>
  <c r="AN26" i="6"/>
  <c r="AP26" i="6"/>
  <c r="AX26" i="6"/>
  <c r="AT26" i="6"/>
  <c r="AO26" i="6"/>
  <c r="BA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N23" i="12"/>
  <c r="G26" i="12"/>
  <c r="X26" i="5"/>
  <c r="AD26" i="6" s="1"/>
  <c r="AH26" i="6" l="1"/>
  <c r="AG26" i="6"/>
  <c r="AE26" i="6"/>
  <c r="AF26" i="6"/>
  <c r="AB26" i="6"/>
  <c r="AC26" i="6"/>
  <c r="X23" i="12"/>
  <c r="J29" i="5"/>
  <c r="F29" i="5"/>
  <c r="J28" i="12"/>
  <c r="K28" i="12" s="1"/>
  <c r="Y24" i="12"/>
  <c r="X24" i="12" s="1"/>
  <c r="G29" i="5"/>
  <c r="H29" i="5"/>
  <c r="A29" i="12"/>
  <c r="J29" i="12" s="1"/>
  <c r="K29" i="5"/>
  <c r="B29" i="5"/>
  <c r="C30" i="5" s="1"/>
  <c r="E29" i="5"/>
  <c r="D29" i="5"/>
  <c r="B29" i="12" s="1"/>
  <c r="W29" i="5"/>
  <c r="H29" i="12" s="1"/>
  <c r="AE29" i="5"/>
  <c r="AD29" i="5"/>
  <c r="N29" i="5"/>
  <c r="D29" i="6" s="1"/>
  <c r="W12" i="10"/>
  <c r="V11" i="10"/>
  <c r="N24" i="12"/>
  <c r="A28" i="6"/>
  <c r="AB25" i="5"/>
  <c r="C25" i="6"/>
  <c r="G27" i="12"/>
  <c r="X27" i="5"/>
  <c r="L26" i="5"/>
  <c r="AM26" i="5"/>
  <c r="I26" i="12"/>
  <c r="Z26" i="5"/>
  <c r="U23" i="12"/>
  <c r="V23" i="12"/>
  <c r="T23" i="12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AD30" i="5" l="1"/>
  <c r="R30" i="5"/>
  <c r="W24" i="12"/>
  <c r="V24" i="12" s="1"/>
  <c r="E30" i="5"/>
  <c r="N25" i="12"/>
  <c r="F30" i="5"/>
  <c r="L29" i="12"/>
  <c r="K29" i="12" s="1"/>
  <c r="C31" i="5"/>
  <c r="N30" i="5"/>
  <c r="D30" i="6" s="1"/>
  <c r="B30" i="6"/>
  <c r="AE30" i="5"/>
  <c r="B30" i="5"/>
  <c r="W30" i="5"/>
  <c r="H30" i="12" s="1"/>
  <c r="G30" i="5"/>
  <c r="H30" i="5"/>
  <c r="A30" i="12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T24" i="12" l="1"/>
  <c r="U24" i="12"/>
  <c r="E31" i="5"/>
  <c r="AZ28" i="6"/>
  <c r="G31" i="5"/>
  <c r="AI28" i="6"/>
  <c r="AD31" i="5"/>
  <c r="Y26" i="12"/>
  <c r="X26" i="12" s="1"/>
  <c r="J31" i="5"/>
  <c r="F31" i="5"/>
  <c r="D31" i="5"/>
  <c r="B31" i="12" s="1"/>
  <c r="B31" i="5"/>
  <c r="C32" i="5" s="1"/>
  <c r="AD32" i="5" s="1"/>
  <c r="AE31" i="5"/>
  <c r="BC28" i="6"/>
  <c r="K31" i="5"/>
  <c r="B31" i="6"/>
  <c r="N31" i="5"/>
  <c r="D31" i="6" s="1"/>
  <c r="A31" i="12"/>
  <c r="L31" i="12" s="1"/>
  <c r="W31" i="5"/>
  <c r="H31" i="12" s="1"/>
  <c r="H31" i="5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W26" i="12" l="1"/>
  <c r="V26" i="12" s="1"/>
  <c r="F32" i="5"/>
  <c r="AE32" i="5"/>
  <c r="W32" i="5"/>
  <c r="H32" i="12" s="1"/>
  <c r="B32" i="5"/>
  <c r="C33" i="5" s="1"/>
  <c r="H32" i="5"/>
  <c r="G32" i="5"/>
  <c r="B32" i="6"/>
  <c r="E32" i="5"/>
  <c r="A32" i="12"/>
  <c r="N32" i="5"/>
  <c r="D32" i="6" s="1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O28" i="5"/>
  <c r="L29" i="5"/>
  <c r="AM29" i="5"/>
  <c r="I29" i="12"/>
  <c r="Z29" i="5"/>
  <c r="X11" i="9"/>
  <c r="Y12" i="9"/>
  <c r="AA28" i="5"/>
  <c r="AB28" i="5"/>
  <c r="C28" i="12"/>
  <c r="O28" i="12"/>
  <c r="M28" i="12"/>
  <c r="AO28" i="12"/>
  <c r="C34" i="7"/>
  <c r="B33" i="7"/>
  <c r="G30" i="12"/>
  <c r="H31" i="6"/>
  <c r="T31" i="5" s="1"/>
  <c r="A31" i="6"/>
  <c r="M31" i="6" l="1"/>
  <c r="AQ31" i="6" s="1"/>
  <c r="T26" i="12"/>
  <c r="U26" i="12"/>
  <c r="AD33" i="5"/>
  <c r="C34" i="5"/>
  <c r="AE34" i="5" s="1"/>
  <c r="N33" i="5"/>
  <c r="D33" i="6" s="1"/>
  <c r="W33" i="5"/>
  <c r="H33" i="12" s="1"/>
  <c r="B33" i="6"/>
  <c r="A33" i="12"/>
  <c r="AE33" i="5"/>
  <c r="G33" i="5"/>
  <c r="H33" i="5"/>
  <c r="F33" i="5"/>
  <c r="B33" i="5"/>
  <c r="E33" i="5"/>
  <c r="BG30" i="6"/>
  <c r="Y28" i="12"/>
  <c r="W28" i="12" s="1"/>
  <c r="AU30" i="6"/>
  <c r="AF30" i="6"/>
  <c r="AK30" i="6"/>
  <c r="AD30" i="6"/>
  <c r="BC30" i="6"/>
  <c r="BB30" i="6"/>
  <c r="A32" i="6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N28" i="12"/>
  <c r="H32" i="6"/>
  <c r="T32" i="5" s="1"/>
  <c r="G32" i="12" s="1"/>
  <c r="Y11" i="9"/>
  <c r="Z12" i="9"/>
  <c r="AA29" i="5"/>
  <c r="AB29" i="5"/>
  <c r="G31" i="12"/>
  <c r="X31" i="5"/>
  <c r="B34" i="7"/>
  <c r="C35" i="7"/>
  <c r="C29" i="12"/>
  <c r="M29" i="12"/>
  <c r="O29" i="12"/>
  <c r="AO29" i="12"/>
  <c r="C29" i="6"/>
  <c r="O29" i="5"/>
  <c r="D28" i="12"/>
  <c r="E28" i="6"/>
  <c r="X27" i="12"/>
  <c r="W27" i="12"/>
  <c r="AH31" i="6" l="1"/>
  <c r="AR31" i="6"/>
  <c r="AI31" i="6"/>
  <c r="BF31" i="6"/>
  <c r="AM31" i="6"/>
  <c r="AJ31" i="6"/>
  <c r="BC31" i="6"/>
  <c r="AN31" i="6"/>
  <c r="AY31" i="6"/>
  <c r="AG31" i="6"/>
  <c r="AS31" i="6"/>
  <c r="BE31" i="6"/>
  <c r="AU31" i="6"/>
  <c r="AT31" i="6"/>
  <c r="AF31" i="6"/>
  <c r="AX31" i="6"/>
  <c r="AO31" i="6"/>
  <c r="AK31" i="6"/>
  <c r="BG31" i="6"/>
  <c r="AZ31" i="6"/>
  <c r="M32" i="6"/>
  <c r="AN32" i="6" s="1"/>
  <c r="BA31" i="6"/>
  <c r="AP31" i="6"/>
  <c r="BB31" i="6"/>
  <c r="AV31" i="6"/>
  <c r="BD31" i="6"/>
  <c r="AD31" i="6"/>
  <c r="AB31" i="6"/>
  <c r="AE31" i="6"/>
  <c r="AC31" i="6"/>
  <c r="C35" i="5"/>
  <c r="W35" i="5" s="1"/>
  <c r="H35" i="12" s="1"/>
  <c r="W34" i="5"/>
  <c r="H34" i="12" s="1"/>
  <c r="N34" i="5"/>
  <c r="D34" i="6" s="1"/>
  <c r="G34" i="5"/>
  <c r="B34" i="6"/>
  <c r="J34" i="5"/>
  <c r="K34" i="5"/>
  <c r="D34" i="5"/>
  <c r="B34" i="12" s="1"/>
  <c r="A34" i="12"/>
  <c r="L34" i="12" s="1"/>
  <c r="F34" i="5"/>
  <c r="AD34" i="5"/>
  <c r="E34" i="5"/>
  <c r="B34" i="5"/>
  <c r="H34" i="5"/>
  <c r="X28" i="12"/>
  <c r="A33" i="6"/>
  <c r="Y29" i="12"/>
  <c r="X29" i="12" s="1"/>
  <c r="AB12" i="10"/>
  <c r="AA11" i="10"/>
  <c r="V27" i="12"/>
  <c r="U27" i="12"/>
  <c r="T27" i="12"/>
  <c r="D29" i="12"/>
  <c r="E29" i="6"/>
  <c r="B35" i="7"/>
  <c r="C36" i="7"/>
  <c r="AM31" i="5"/>
  <c r="L31" i="5"/>
  <c r="I31" i="12"/>
  <c r="Z31" i="5"/>
  <c r="AA12" i="9"/>
  <c r="Z11" i="9"/>
  <c r="U28" i="12"/>
  <c r="V28" i="12"/>
  <c r="T28" i="12"/>
  <c r="N29" i="12"/>
  <c r="H33" i="6"/>
  <c r="T33" i="5" s="1"/>
  <c r="AM32" i="6" l="1"/>
  <c r="BD32" i="6"/>
  <c r="BB32" i="6"/>
  <c r="BE32" i="6"/>
  <c r="BC32" i="6"/>
  <c r="AK32" i="6"/>
  <c r="AR32" i="6"/>
  <c r="AT32" i="6"/>
  <c r="AS32" i="6"/>
  <c r="AZ32" i="6"/>
  <c r="AO32" i="6"/>
  <c r="AJ32" i="6"/>
  <c r="BG32" i="6"/>
  <c r="AP32" i="6"/>
  <c r="AX32" i="6"/>
  <c r="AY32" i="6"/>
  <c r="BA32" i="6"/>
  <c r="AI32" i="6"/>
  <c r="AV32" i="6"/>
  <c r="BF32" i="6"/>
  <c r="AQ32" i="6"/>
  <c r="AU32" i="6"/>
  <c r="AE35" i="5"/>
  <c r="J35" i="5"/>
  <c r="J34" i="12"/>
  <c r="K34" i="12" s="1"/>
  <c r="C36" i="5"/>
  <c r="AD36" i="5" s="1"/>
  <c r="B35" i="6"/>
  <c r="D35" i="5"/>
  <c r="B35" i="12" s="1"/>
  <c r="AD35" i="5"/>
  <c r="K35" i="5"/>
  <c r="G35" i="5"/>
  <c r="H35" i="5"/>
  <c r="E35" i="5"/>
  <c r="B35" i="5"/>
  <c r="N35" i="5"/>
  <c r="D35" i="6" s="1"/>
  <c r="A35" i="12"/>
  <c r="J35" i="12" s="1"/>
  <c r="F35" i="5"/>
  <c r="M33" i="6"/>
  <c r="BC33" i="6" s="1"/>
  <c r="W29" i="12"/>
  <c r="V29" i="12" s="1"/>
  <c r="AB11" i="10"/>
  <c r="AC12" i="10"/>
  <c r="H34" i="6"/>
  <c r="T34" i="5" s="1"/>
  <c r="A34" i="6"/>
  <c r="C31" i="12"/>
  <c r="M31" i="12"/>
  <c r="AO31" i="12"/>
  <c r="O31" i="12"/>
  <c r="G33" i="12"/>
  <c r="AA11" i="9"/>
  <c r="AB12" i="9"/>
  <c r="AB31" i="5"/>
  <c r="C31" i="6"/>
  <c r="B36" i="7"/>
  <c r="C37" i="7"/>
  <c r="B36" i="5" l="1"/>
  <c r="A36" i="12"/>
  <c r="J36" i="12" s="1"/>
  <c r="B36" i="6"/>
  <c r="C37" i="5"/>
  <c r="C38" i="5" s="1"/>
  <c r="G36" i="5"/>
  <c r="AE36" i="5"/>
  <c r="K36" i="5"/>
  <c r="H36" i="5"/>
  <c r="D36" i="5"/>
  <c r="B36" i="12" s="1"/>
  <c r="W36" i="5"/>
  <c r="H36" i="12" s="1"/>
  <c r="J36" i="5"/>
  <c r="N36" i="5"/>
  <c r="D36" i="6" s="1"/>
  <c r="E36" i="5"/>
  <c r="F36" i="5"/>
  <c r="L35" i="12"/>
  <c r="K35" i="12" s="1"/>
  <c r="AJ33" i="6"/>
  <c r="AQ33" i="6"/>
  <c r="AP33" i="6"/>
  <c r="BD33" i="6"/>
  <c r="AV33" i="6"/>
  <c r="AX33" i="6"/>
  <c r="AO33" i="6"/>
  <c r="AM33" i="6"/>
  <c r="AT33" i="6"/>
  <c r="BA33" i="6"/>
  <c r="BG33" i="6"/>
  <c r="AR33" i="6"/>
  <c r="BB33" i="6"/>
  <c r="AI33" i="6"/>
  <c r="AS33" i="6"/>
  <c r="AK33" i="6"/>
  <c r="AZ33" i="6"/>
  <c r="AN33" i="6"/>
  <c r="AY33" i="6"/>
  <c r="BF33" i="6"/>
  <c r="BE33" i="6"/>
  <c r="AU33" i="6"/>
  <c r="T29" i="12"/>
  <c r="N31" i="12"/>
  <c r="U29" i="12"/>
  <c r="A35" i="6"/>
  <c r="Y31" i="12"/>
  <c r="X31" i="12" s="1"/>
  <c r="AD12" i="10"/>
  <c r="AC11" i="10"/>
  <c r="AC12" i="9"/>
  <c r="AB11" i="9"/>
  <c r="B37" i="7"/>
  <c r="C38" i="7"/>
  <c r="H35" i="6"/>
  <c r="T35" i="5" s="1"/>
  <c r="M34" i="6"/>
  <c r="G34" i="12"/>
  <c r="X34" i="5"/>
  <c r="AF37" i="5"/>
  <c r="AF38" i="5"/>
  <c r="L36" i="12" l="1"/>
  <c r="K36" i="12" s="1"/>
  <c r="B37" i="5"/>
  <c r="B38" i="5" s="1"/>
  <c r="C39" i="5" s="1"/>
  <c r="R39" i="5" s="1"/>
  <c r="N37" i="5"/>
  <c r="D37" i="6" s="1"/>
  <c r="B37" i="6"/>
  <c r="AE37" i="5"/>
  <c r="AD37" i="5"/>
  <c r="J37" i="5"/>
  <c r="H37" i="5"/>
  <c r="H38" i="5" s="1"/>
  <c r="G37" i="5"/>
  <c r="G38" i="5" s="1"/>
  <c r="A37" i="12"/>
  <c r="J37" i="12" s="1"/>
  <c r="D37" i="5"/>
  <c r="B37" i="12" s="1"/>
  <c r="K37" i="5"/>
  <c r="W37" i="5"/>
  <c r="H37" i="12" s="1"/>
  <c r="F37" i="5"/>
  <c r="F38" i="5" s="1"/>
  <c r="R37" i="5"/>
  <c r="E37" i="12" s="1"/>
  <c r="AG37" i="5"/>
  <c r="S37" i="5"/>
  <c r="F37" i="12" s="1"/>
  <c r="E37" i="5"/>
  <c r="E38" i="5" s="1"/>
  <c r="M35" i="6"/>
  <c r="BF35" i="6" s="1"/>
  <c r="W31" i="12"/>
  <c r="U31" i="12" s="1"/>
  <c r="A36" i="6"/>
  <c r="M36" i="6" s="1"/>
  <c r="AM36" i="6" s="1"/>
  <c r="S38" i="5"/>
  <c r="F38" i="12" s="1"/>
  <c r="AG38" i="5"/>
  <c r="AD11" i="10"/>
  <c r="AE12" i="10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D38" i="5"/>
  <c r="B38" i="12" s="1"/>
  <c r="W38" i="5"/>
  <c r="H38" i="12" s="1"/>
  <c r="A38" i="12"/>
  <c r="K38" i="5"/>
  <c r="AE38" i="5"/>
  <c r="R38" i="5"/>
  <c r="B38" i="6"/>
  <c r="N38" i="5"/>
  <c r="J38" i="5"/>
  <c r="AD38" i="5"/>
  <c r="AC11" i="9"/>
  <c r="AD12" i="9"/>
  <c r="B38" i="7"/>
  <c r="C39" i="7"/>
  <c r="H36" i="6"/>
  <c r="T36" i="5" s="1"/>
  <c r="AF39" i="5"/>
  <c r="L37" i="12" l="1"/>
  <c r="K37" i="12" s="1"/>
  <c r="F37" i="6"/>
  <c r="AF35" i="6"/>
  <c r="AI35" i="6"/>
  <c r="AE35" i="6"/>
  <c r="AM35" i="6"/>
  <c r="AC35" i="6"/>
  <c r="AG35" i="6"/>
  <c r="AH35" i="6"/>
  <c r="AB35" i="6"/>
  <c r="AK35" i="6"/>
  <c r="AS35" i="6"/>
  <c r="AY35" i="6"/>
  <c r="AO35" i="6"/>
  <c r="BA35" i="6"/>
  <c r="AU35" i="6"/>
  <c r="AV35" i="6"/>
  <c r="AT35" i="6"/>
  <c r="AR35" i="6"/>
  <c r="AD35" i="6"/>
  <c r="AJ35" i="6"/>
  <c r="AN35" i="6"/>
  <c r="AQ35" i="6"/>
  <c r="AP35" i="6"/>
  <c r="AX35" i="6"/>
  <c r="BB35" i="6"/>
  <c r="BG35" i="6"/>
  <c r="BE35" i="6"/>
  <c r="AZ35" i="6"/>
  <c r="BC35" i="6"/>
  <c r="BD35" i="6"/>
  <c r="A37" i="6"/>
  <c r="V31" i="12"/>
  <c r="T31" i="12"/>
  <c r="BB36" i="6"/>
  <c r="BA36" i="6"/>
  <c r="BD36" i="6"/>
  <c r="AG39" i="5"/>
  <c r="S39" i="5"/>
  <c r="F39" i="12" s="1"/>
  <c r="AS36" i="6"/>
  <c r="AE36" i="6"/>
  <c r="BC36" i="6"/>
  <c r="AE11" i="10"/>
  <c r="AF12" i="10"/>
  <c r="AF11" i="10" s="1"/>
  <c r="AI36" i="6"/>
  <c r="AX36" i="6"/>
  <c r="AY36" i="6"/>
  <c r="AB36" i="6"/>
  <c r="BF36" i="6"/>
  <c r="AQ36" i="6"/>
  <c r="AJ36" i="6"/>
  <c r="AH36" i="6"/>
  <c r="BE36" i="6"/>
  <c r="AP36" i="6"/>
  <c r="D38" i="6"/>
  <c r="J38" i="12"/>
  <c r="L38" i="12"/>
  <c r="E39" i="5"/>
  <c r="C40" i="5"/>
  <c r="W39" i="5"/>
  <c r="H39" i="12" s="1"/>
  <c r="A39" i="12"/>
  <c r="AD39" i="5"/>
  <c r="F39" i="5"/>
  <c r="G39" i="5"/>
  <c r="H39" i="5"/>
  <c r="B39" i="6"/>
  <c r="B39" i="5"/>
  <c r="AE39" i="5"/>
  <c r="N39" i="5"/>
  <c r="G37" i="6"/>
  <c r="H37" i="6"/>
  <c r="T37" i="5" s="1"/>
  <c r="AM35" i="5"/>
  <c r="I35" i="12"/>
  <c r="L35" i="5"/>
  <c r="Z35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F38" i="6"/>
  <c r="E38" i="12"/>
  <c r="C34" i="6"/>
  <c r="C34" i="12"/>
  <c r="O34" i="12"/>
  <c r="M34" i="12"/>
  <c r="AO34" i="12"/>
  <c r="A38" i="6" l="1"/>
  <c r="M37" i="6"/>
  <c r="AM37" i="6" s="1"/>
  <c r="Y34" i="12"/>
  <c r="W34" i="12" s="1"/>
  <c r="K38" i="12"/>
  <c r="N34" i="12"/>
  <c r="B40" i="7"/>
  <c r="C41" i="7"/>
  <c r="AB35" i="5"/>
  <c r="AA35" i="5"/>
  <c r="C35" i="12"/>
  <c r="O35" i="12"/>
  <c r="M35" i="12"/>
  <c r="AO35" i="12"/>
  <c r="D39" i="6"/>
  <c r="W40" i="5"/>
  <c r="H40" i="12" s="1"/>
  <c r="F40" i="5"/>
  <c r="E40" i="5"/>
  <c r="G40" i="5"/>
  <c r="B40" i="5"/>
  <c r="K40" i="5"/>
  <c r="H40" i="5"/>
  <c r="N40" i="5"/>
  <c r="D40" i="5"/>
  <c r="B40" i="12" s="1"/>
  <c r="AE40" i="5"/>
  <c r="J40" i="5"/>
  <c r="AD40" i="5"/>
  <c r="B40" i="6"/>
  <c r="A40" i="12"/>
  <c r="C41" i="5"/>
  <c r="AM36" i="5"/>
  <c r="I36" i="12"/>
  <c r="L36" i="5"/>
  <c r="Z36" i="5"/>
  <c r="C35" i="6"/>
  <c r="O35" i="5"/>
  <c r="G37" i="12"/>
  <c r="X37" i="5"/>
  <c r="F39" i="6"/>
  <c r="E39" i="12"/>
  <c r="H38" i="6"/>
  <c r="T38" i="5" s="1"/>
  <c r="G38" i="6"/>
  <c r="AB37" i="6" l="1"/>
  <c r="BF37" i="6"/>
  <c r="M38" i="6"/>
  <c r="AV38" i="6" s="1"/>
  <c r="AF37" i="6"/>
  <c r="BC37" i="6"/>
  <c r="AP37" i="6"/>
  <c r="A39" i="6"/>
  <c r="AX37" i="6"/>
  <c r="AR37" i="6"/>
  <c r="AZ37" i="6"/>
  <c r="BE37" i="6"/>
  <c r="AE37" i="6"/>
  <c r="BD37" i="6"/>
  <c r="AY37" i="6"/>
  <c r="AI37" i="6"/>
  <c r="AC37" i="6"/>
  <c r="AN37" i="6"/>
  <c r="AG37" i="6"/>
  <c r="AQ37" i="6"/>
  <c r="BA37" i="6"/>
  <c r="AJ37" i="6"/>
  <c r="AT37" i="6"/>
  <c r="AO37" i="6"/>
  <c r="BB37" i="6"/>
  <c r="AH37" i="6"/>
  <c r="AD37" i="6"/>
  <c r="BG37" i="6"/>
  <c r="AV37" i="6"/>
  <c r="Y35" i="12"/>
  <c r="W35" i="12" s="1"/>
  <c r="AU37" i="6"/>
  <c r="AK37" i="6"/>
  <c r="AS37" i="6"/>
  <c r="X34" i="12"/>
  <c r="N35" i="12"/>
  <c r="G38" i="12"/>
  <c r="X38" i="5"/>
  <c r="L37" i="5"/>
  <c r="I37" i="12"/>
  <c r="AM37" i="5"/>
  <c r="Z37" i="5"/>
  <c r="AC37" i="5"/>
  <c r="E35" i="6"/>
  <c r="D35" i="12"/>
  <c r="C36" i="12"/>
  <c r="M36" i="12"/>
  <c r="O36" i="12"/>
  <c r="AO36" i="12"/>
  <c r="J40" i="12"/>
  <c r="L40" i="12"/>
  <c r="C42" i="7"/>
  <c r="B41" i="7"/>
  <c r="V34" i="12"/>
  <c r="U34" i="12"/>
  <c r="T34" i="12"/>
  <c r="AB36" i="5"/>
  <c r="AA36" i="5"/>
  <c r="C36" i="6"/>
  <c r="O36" i="5"/>
  <c r="D41" i="5"/>
  <c r="B41" i="12" s="1"/>
  <c r="AE41" i="5"/>
  <c r="K41" i="5"/>
  <c r="H41" i="5"/>
  <c r="AD41" i="5"/>
  <c r="J41" i="5"/>
  <c r="E41" i="5"/>
  <c r="G41" i="5"/>
  <c r="B41" i="6"/>
  <c r="A41" i="12"/>
  <c r="F41" i="5"/>
  <c r="N41" i="5"/>
  <c r="W41" i="5"/>
  <c r="H41" i="12" s="1"/>
  <c r="B41" i="5"/>
  <c r="C42" i="5"/>
  <c r="D40" i="6"/>
  <c r="H39" i="6"/>
  <c r="T39" i="5" s="1"/>
  <c r="G39" i="6"/>
  <c r="BA38" i="6" l="1"/>
  <c r="AG38" i="6"/>
  <c r="AF38" i="6"/>
  <c r="AP38" i="6"/>
  <c r="AZ38" i="6"/>
  <c r="BB38" i="6"/>
  <c r="AH38" i="6"/>
  <c r="AQ38" i="6"/>
  <c r="AJ38" i="6"/>
  <c r="BG38" i="6"/>
  <c r="AY38" i="6"/>
  <c r="AN38" i="6"/>
  <c r="AT38" i="6"/>
  <c r="AM38" i="6"/>
  <c r="AR38" i="6"/>
  <c r="AB38" i="6"/>
  <c r="BF38" i="6"/>
  <c r="M39" i="6"/>
  <c r="BD39" i="6" s="1"/>
  <c r="X35" i="12"/>
  <c r="BE38" i="6"/>
  <c r="AD38" i="6"/>
  <c r="AX38" i="6"/>
  <c r="AK38" i="6"/>
  <c r="AE38" i="6"/>
  <c r="AS38" i="6"/>
  <c r="BC38" i="6"/>
  <c r="AC38" i="6"/>
  <c r="BD38" i="6"/>
  <c r="AO38" i="6"/>
  <c r="AU38" i="6"/>
  <c r="AI38" i="6"/>
  <c r="K40" i="12"/>
  <c r="Y36" i="12"/>
  <c r="W36" i="12" s="1"/>
  <c r="H40" i="6"/>
  <c r="T40" i="5" s="1"/>
  <c r="A40" i="6"/>
  <c r="D41" i="6"/>
  <c r="L41" i="12"/>
  <c r="J41" i="12"/>
  <c r="B42" i="7"/>
  <c r="C43" i="7"/>
  <c r="AA37" i="5"/>
  <c r="AB37" i="5"/>
  <c r="C37" i="12"/>
  <c r="O37" i="12"/>
  <c r="M37" i="12"/>
  <c r="AO37" i="12"/>
  <c r="L38" i="5"/>
  <c r="AM38" i="5"/>
  <c r="I38" i="12"/>
  <c r="Z38" i="5"/>
  <c r="AC38" i="5"/>
  <c r="G39" i="12"/>
  <c r="H42" i="5"/>
  <c r="W42" i="5"/>
  <c r="H42" i="12" s="1"/>
  <c r="F42" i="5"/>
  <c r="A42" i="12"/>
  <c r="G42" i="5"/>
  <c r="AE42" i="5"/>
  <c r="K42" i="5"/>
  <c r="E42" i="5"/>
  <c r="D42" i="5"/>
  <c r="B42" i="12" s="1"/>
  <c r="B42" i="5"/>
  <c r="C43" i="5" s="1"/>
  <c r="B42" i="6"/>
  <c r="AD42" i="5"/>
  <c r="J42" i="5"/>
  <c r="N42" i="5"/>
  <c r="E36" i="6"/>
  <c r="D36" i="12"/>
  <c r="V35" i="12"/>
  <c r="T35" i="12"/>
  <c r="U35" i="12"/>
  <c r="N36" i="12"/>
  <c r="C37" i="6"/>
  <c r="O37" i="5"/>
  <c r="BE39" i="6" l="1"/>
  <c r="AZ39" i="6"/>
  <c r="AH39" i="6"/>
  <c r="AB39" i="6"/>
  <c r="AE39" i="6"/>
  <c r="BF39" i="6"/>
  <c r="AX39" i="6"/>
  <c r="AM39" i="6"/>
  <c r="AO39" i="6"/>
  <c r="AD39" i="6"/>
  <c r="AR39" i="6"/>
  <c r="AY39" i="6"/>
  <c r="AC39" i="6"/>
  <c r="AF39" i="6"/>
  <c r="AG39" i="6"/>
  <c r="AK39" i="6"/>
  <c r="AU39" i="6"/>
  <c r="AJ39" i="6"/>
  <c r="AI39" i="6"/>
  <c r="AT39" i="6"/>
  <c r="AP39" i="6"/>
  <c r="BB39" i="6"/>
  <c r="AQ39" i="6"/>
  <c r="BA39" i="6"/>
  <c r="BG39" i="6"/>
  <c r="AS39" i="6"/>
  <c r="AV39" i="6"/>
  <c r="BC39" i="6"/>
  <c r="AN39" i="6"/>
  <c r="X36" i="12"/>
  <c r="Y37" i="12"/>
  <c r="X37" i="12" s="1"/>
  <c r="A41" i="6"/>
  <c r="N37" i="12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AB38" i="5"/>
  <c r="AA38" i="5"/>
  <c r="T36" i="12"/>
  <c r="V36" i="12"/>
  <c r="U36" i="12"/>
  <c r="B43" i="7"/>
  <c r="C44" i="7"/>
  <c r="E37" i="6"/>
  <c r="D37" i="12"/>
  <c r="C38" i="12"/>
  <c r="AO38" i="12"/>
  <c r="O38" i="12"/>
  <c r="M38" i="12"/>
  <c r="C38" i="6"/>
  <c r="O38" i="5"/>
  <c r="K41" i="12"/>
  <c r="H41" i="6"/>
  <c r="T41" i="5" s="1"/>
  <c r="M40" i="6"/>
  <c r="G40" i="12"/>
  <c r="X40" i="5"/>
  <c r="W37" i="12" l="1"/>
  <c r="U37" i="12" s="1"/>
  <c r="A42" i="6"/>
  <c r="M42" i="6" s="1"/>
  <c r="AS42" i="6" s="1"/>
  <c r="M41" i="6"/>
  <c r="AP41" i="6" s="1"/>
  <c r="N38" i="12"/>
  <c r="K42" i="12"/>
  <c r="E44" i="5"/>
  <c r="G44" i="5"/>
  <c r="H44" i="5"/>
  <c r="AE44" i="5"/>
  <c r="D44" i="5"/>
  <c r="B44" i="12" s="1"/>
  <c r="W44" i="5"/>
  <c r="H44" i="12" s="1"/>
  <c r="K44" i="5"/>
  <c r="B44" i="6"/>
  <c r="AD44" i="5"/>
  <c r="C45" i="5"/>
  <c r="A44" i="12"/>
  <c r="B44" i="5"/>
  <c r="F44" i="5"/>
  <c r="J44" i="5"/>
  <c r="N44" i="5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E38" i="6"/>
  <c r="D38" i="12"/>
  <c r="Y38" i="12"/>
  <c r="B44" i="7"/>
  <c r="C45" i="7"/>
  <c r="D43" i="6"/>
  <c r="H42" i="6"/>
  <c r="T42" i="5" s="1"/>
  <c r="AF45" i="5"/>
  <c r="T37" i="12" l="1"/>
  <c r="V37" i="12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AG45" i="5"/>
  <c r="S45" i="5"/>
  <c r="F45" i="12" s="1"/>
  <c r="AO42" i="6"/>
  <c r="AX42" i="6"/>
  <c r="AK42" i="6"/>
  <c r="B45" i="7"/>
  <c r="C46" i="7"/>
  <c r="X38" i="12"/>
  <c r="W38" i="12"/>
  <c r="C40" i="6"/>
  <c r="B45" i="5"/>
  <c r="C46" i="5"/>
  <c r="N45" i="5"/>
  <c r="G45" i="5"/>
  <c r="E45" i="5"/>
  <c r="K45" i="5"/>
  <c r="AE45" i="5"/>
  <c r="H45" i="5"/>
  <c r="D45" i="5"/>
  <c r="B45" i="12" s="1"/>
  <c r="R45" i="5"/>
  <c r="B45" i="6"/>
  <c r="AD45" i="5"/>
  <c r="A45" i="12"/>
  <c r="J45" i="5"/>
  <c r="W45" i="5"/>
  <c r="H45" i="12" s="1"/>
  <c r="F45" i="5"/>
  <c r="BG42" i="6"/>
  <c r="BA42" i="6"/>
  <c r="BB42" i="6"/>
  <c r="G42" i="12"/>
  <c r="X42" i="5"/>
  <c r="AC42" i="6" s="1"/>
  <c r="AM42" i="6"/>
  <c r="BD42" i="6"/>
  <c r="BE42" i="6"/>
  <c r="AZ42" i="6"/>
  <c r="AQ42" i="6"/>
  <c r="AJ42" i="6"/>
  <c r="AI42" i="6"/>
  <c r="AT42" i="6"/>
  <c r="H43" i="6"/>
  <c r="T43" i="5" s="1"/>
  <c r="G43" i="12" s="1"/>
  <c r="I41" i="12"/>
  <c r="L41" i="5"/>
  <c r="AM41" i="5"/>
  <c r="Z41" i="5"/>
  <c r="AB40" i="5"/>
  <c r="C40" i="12"/>
  <c r="AO40" i="12"/>
  <c r="O40" i="12"/>
  <c r="M40" i="12"/>
  <c r="D44" i="6"/>
  <c r="L44" i="12"/>
  <c r="J44" i="12"/>
  <c r="AF46" i="5"/>
  <c r="AH42" i="6" l="1"/>
  <c r="AG42" i="6"/>
  <c r="AB42" i="6"/>
  <c r="AF42" i="6"/>
  <c r="AE42" i="6"/>
  <c r="AD42" i="6"/>
  <c r="M43" i="6"/>
  <c r="AU43" i="6" s="1"/>
  <c r="AG46" i="5"/>
  <c r="S46" i="5"/>
  <c r="F46" i="12" s="1"/>
  <c r="N40" i="12"/>
  <c r="K44" i="12"/>
  <c r="H44" i="6"/>
  <c r="T44" i="5" s="1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R46" i="5"/>
  <c r="AD46" i="5"/>
  <c r="J46" i="5"/>
  <c r="C47" i="5"/>
  <c r="G46" i="5"/>
  <c r="B46" i="6"/>
  <c r="D46" i="5"/>
  <c r="B46" i="12" s="1"/>
  <c r="E46" i="5"/>
  <c r="B46" i="5"/>
  <c r="T38" i="12"/>
  <c r="V38" i="12"/>
  <c r="U38" i="12"/>
  <c r="C47" i="7"/>
  <c r="B46" i="7"/>
  <c r="Y40" i="12"/>
  <c r="C41" i="6"/>
  <c r="I42" i="12"/>
  <c r="L42" i="5"/>
  <c r="AM42" i="5"/>
  <c r="Z42" i="5"/>
  <c r="A44" i="6"/>
  <c r="L45" i="12"/>
  <c r="J45" i="12"/>
  <c r="F45" i="6"/>
  <c r="E45" i="12"/>
  <c r="D45" i="6"/>
  <c r="AF47" i="5"/>
  <c r="AJ43" i="6" l="1"/>
  <c r="AX43" i="6"/>
  <c r="BG43" i="6"/>
  <c r="BF43" i="6"/>
  <c r="BB43" i="6"/>
  <c r="BD43" i="6"/>
  <c r="AN43" i="6"/>
  <c r="AI43" i="6"/>
  <c r="BC43" i="6"/>
  <c r="AV43" i="6"/>
  <c r="AR43" i="6"/>
  <c r="BA43" i="6"/>
  <c r="AK43" i="6"/>
  <c r="AP43" i="6"/>
  <c r="BE43" i="6"/>
  <c r="AM43" i="6"/>
  <c r="AO43" i="6"/>
  <c r="AZ43" i="6"/>
  <c r="AT43" i="6"/>
  <c r="AS43" i="6"/>
  <c r="AQ43" i="6"/>
  <c r="AY43" i="6"/>
  <c r="N41" i="12"/>
  <c r="S47" i="5"/>
  <c r="F47" i="12" s="1"/>
  <c r="AG47" i="5"/>
  <c r="K45" i="12"/>
  <c r="AB42" i="5"/>
  <c r="C42" i="6"/>
  <c r="X40" i="12"/>
  <c r="W40" i="12"/>
  <c r="C48" i="7"/>
  <c r="B47" i="7"/>
  <c r="C48" i="5"/>
  <c r="AE47" i="5"/>
  <c r="G47" i="5"/>
  <c r="W47" i="5"/>
  <c r="H47" i="12" s="1"/>
  <c r="B47" i="5"/>
  <c r="J47" i="5"/>
  <c r="D47" i="5"/>
  <c r="B47" i="12" s="1"/>
  <c r="K47" i="5"/>
  <c r="AD47" i="5"/>
  <c r="E47" i="5"/>
  <c r="F47" i="5"/>
  <c r="B47" i="6"/>
  <c r="N47" i="5"/>
  <c r="A47" i="12"/>
  <c r="H47" i="5"/>
  <c r="R47" i="5"/>
  <c r="D46" i="6"/>
  <c r="G44" i="12"/>
  <c r="X44" i="5"/>
  <c r="H45" i="6"/>
  <c r="T45" i="5" s="1"/>
  <c r="G45" i="6"/>
  <c r="C42" i="12"/>
  <c r="O42" i="12"/>
  <c r="AO42" i="12"/>
  <c r="M42" i="12"/>
  <c r="E46" i="12"/>
  <c r="F46" i="6"/>
  <c r="J46" i="12"/>
  <c r="L46" i="12"/>
  <c r="A45" i="6"/>
  <c r="Y41" i="12"/>
  <c r="M44" i="6"/>
  <c r="AJ44" i="6" s="1"/>
  <c r="AF48" i="5"/>
  <c r="AG48" i="5" l="1"/>
  <c r="S48" i="5"/>
  <c r="F48" i="12" s="1"/>
  <c r="K46" i="12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X45" i="5"/>
  <c r="AD44" i="6"/>
  <c r="AC44" i="6"/>
  <c r="AM44" i="5"/>
  <c r="I44" i="12"/>
  <c r="L44" i="5"/>
  <c r="Z44" i="5"/>
  <c r="G46" i="6"/>
  <c r="H46" i="6"/>
  <c r="T46" i="5" s="1"/>
  <c r="L47" i="12"/>
  <c r="J47" i="12"/>
  <c r="A46" i="6"/>
  <c r="B48" i="7"/>
  <c r="C49" i="7"/>
  <c r="AF44" i="6"/>
  <c r="AB44" i="6"/>
  <c r="AK44" i="6"/>
  <c r="Y42" i="12"/>
  <c r="M45" i="6"/>
  <c r="AD45" i="6" s="1"/>
  <c r="AI44" i="6"/>
  <c r="AH44" i="6"/>
  <c r="E47" i="12"/>
  <c r="F47" i="6"/>
  <c r="D47" i="6"/>
  <c r="W48" i="5"/>
  <c r="H48" i="12" s="1"/>
  <c r="AE48" i="5"/>
  <c r="N48" i="5"/>
  <c r="AD48" i="5"/>
  <c r="J48" i="5"/>
  <c r="F48" i="5"/>
  <c r="R48" i="5"/>
  <c r="B48" i="6"/>
  <c r="C49" i="5"/>
  <c r="G48" i="5"/>
  <c r="D48" i="5"/>
  <c r="B48" i="12" s="1"/>
  <c r="E48" i="5"/>
  <c r="H48" i="5"/>
  <c r="A48" i="12"/>
  <c r="K48" i="5"/>
  <c r="B48" i="5"/>
  <c r="U40" i="12"/>
  <c r="V40" i="12"/>
  <c r="T40" i="12"/>
  <c r="AF49" i="5"/>
  <c r="AG49" i="5" l="1"/>
  <c r="S49" i="5"/>
  <c r="F49" i="12" s="1"/>
  <c r="AJ45" i="6"/>
  <c r="K47" i="12"/>
  <c r="A47" i="6"/>
  <c r="AE45" i="6"/>
  <c r="AB45" i="6"/>
  <c r="AC45" i="6"/>
  <c r="X42" i="12"/>
  <c r="W42" i="12"/>
  <c r="B49" i="7"/>
  <c r="C50" i="7"/>
  <c r="M46" i="6"/>
  <c r="AG46" i="6" s="1"/>
  <c r="C44" i="6"/>
  <c r="J48" i="12"/>
  <c r="L48" i="12"/>
  <c r="B49" i="5"/>
  <c r="AE49" i="5"/>
  <c r="W49" i="5"/>
  <c r="H49" i="12" s="1"/>
  <c r="D49" i="5"/>
  <c r="B49" i="12" s="1"/>
  <c r="E49" i="5"/>
  <c r="A49" i="12"/>
  <c r="H49" i="5"/>
  <c r="N49" i="5"/>
  <c r="G49" i="5"/>
  <c r="R49" i="5"/>
  <c r="F49" i="5"/>
  <c r="B49" i="6"/>
  <c r="K49" i="5"/>
  <c r="J49" i="5"/>
  <c r="C50" i="5"/>
  <c r="AD49" i="5"/>
  <c r="E48" i="12"/>
  <c r="F48" i="6"/>
  <c r="D48" i="6"/>
  <c r="G47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AC45" i="5"/>
  <c r="T41" i="12"/>
  <c r="V41" i="12"/>
  <c r="U41" i="12"/>
  <c r="AF50" i="5"/>
  <c r="M47" i="6" l="1"/>
  <c r="BA47" i="6" s="1"/>
  <c r="K48" i="12"/>
  <c r="S50" i="5"/>
  <c r="F50" i="12" s="1"/>
  <c r="AG50" i="5"/>
  <c r="N44" i="12"/>
  <c r="C45" i="6"/>
  <c r="O45" i="5"/>
  <c r="AM46" i="5"/>
  <c r="I46" i="12"/>
  <c r="L46" i="5"/>
  <c r="Z46" i="5"/>
  <c r="AC46" i="5"/>
  <c r="G50" i="5"/>
  <c r="AE50" i="5"/>
  <c r="N50" i="5"/>
  <c r="W50" i="5"/>
  <c r="H50" i="12" s="1"/>
  <c r="B50" i="6"/>
  <c r="AD50" i="5"/>
  <c r="A50" i="12"/>
  <c r="B50" i="5"/>
  <c r="C51" i="5" s="1"/>
  <c r="R51" i="5" s="1"/>
  <c r="J50" i="5"/>
  <c r="H50" i="5"/>
  <c r="K50" i="5"/>
  <c r="D50" i="5"/>
  <c r="B50" i="12" s="1"/>
  <c r="F50" i="5"/>
  <c r="R50" i="5"/>
  <c r="E50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AA45" i="5"/>
  <c r="C45" i="12"/>
  <c r="O45" i="12"/>
  <c r="M45" i="12"/>
  <c r="AO45" i="12"/>
  <c r="Y44" i="12"/>
  <c r="AB46" i="6"/>
  <c r="AC46" i="6"/>
  <c r="G47" i="12"/>
  <c r="X47" i="5"/>
  <c r="G48" i="6"/>
  <c r="H48" i="6"/>
  <c r="T48" i="5" s="1"/>
  <c r="F49" i="6"/>
  <c r="E49" i="12"/>
  <c r="D49" i="6"/>
  <c r="J49" i="12"/>
  <c r="L49" i="12"/>
  <c r="A48" i="6"/>
  <c r="AF51" i="5"/>
  <c r="AH47" i="6" l="1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S51" i="5"/>
  <c r="F51" i="12" s="1"/>
  <c r="AG51" i="5"/>
  <c r="N45" i="12"/>
  <c r="G49" i="6"/>
  <c r="H49" i="6"/>
  <c r="T49" i="5" s="1"/>
  <c r="G48" i="12"/>
  <c r="X48" i="5"/>
  <c r="F51" i="5"/>
  <c r="C52" i="5"/>
  <c r="AD51" i="5"/>
  <c r="E51" i="5"/>
  <c r="B51" i="6"/>
  <c r="AE51" i="5"/>
  <c r="N51" i="5"/>
  <c r="A51" i="12"/>
  <c r="W51" i="5"/>
  <c r="H51" i="12" s="1"/>
  <c r="H51" i="5"/>
  <c r="G51" i="5"/>
  <c r="B51" i="5"/>
  <c r="C46" i="12"/>
  <c r="O46" i="12"/>
  <c r="AO46" i="12"/>
  <c r="M46" i="12"/>
  <c r="D45" i="12"/>
  <c r="E45" i="6"/>
  <c r="K49" i="12"/>
  <c r="A49" i="6"/>
  <c r="M49" i="6" s="1"/>
  <c r="M48" i="6"/>
  <c r="AF48" i="6" s="1"/>
  <c r="I47" i="12"/>
  <c r="AM47" i="5"/>
  <c r="L47" i="5"/>
  <c r="Z47" i="5"/>
  <c r="AC47" i="5"/>
  <c r="W44" i="12"/>
  <c r="X44" i="12"/>
  <c r="C52" i="7"/>
  <c r="B51" i="7"/>
  <c r="E50" i="12"/>
  <c r="F50" i="6"/>
  <c r="J50" i="12"/>
  <c r="L50" i="12"/>
  <c r="D50" i="6"/>
  <c r="AB46" i="5"/>
  <c r="AA46" i="5"/>
  <c r="C46" i="6"/>
  <c r="O46" i="5"/>
  <c r="W45" i="12" l="1"/>
  <c r="T45" i="12" s="1"/>
  <c r="A50" i="6"/>
  <c r="M50" i="6" s="1"/>
  <c r="BD50" i="6" s="1"/>
  <c r="AC48" i="6"/>
  <c r="AH48" i="6"/>
  <c r="K50" i="12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E46" i="6"/>
  <c r="D46" i="12"/>
  <c r="AB47" i="5"/>
  <c r="AA47" i="5"/>
  <c r="N46" i="12"/>
  <c r="E52" i="5"/>
  <c r="D52" i="5"/>
  <c r="B52" i="12" s="1"/>
  <c r="J52" i="5"/>
  <c r="A52" i="12"/>
  <c r="AE52" i="5"/>
  <c r="F52" i="5"/>
  <c r="G52" i="5"/>
  <c r="B52" i="5"/>
  <c r="C53" i="5" s="1"/>
  <c r="W52" i="5"/>
  <c r="H52" i="12" s="1"/>
  <c r="K52" i="5"/>
  <c r="N52" i="5"/>
  <c r="H52" i="5"/>
  <c r="B52" i="6"/>
  <c r="AD52" i="5"/>
  <c r="L48" i="5"/>
  <c r="I48" i="12"/>
  <c r="AM48" i="5"/>
  <c r="Z48" i="5"/>
  <c r="AC48" i="5"/>
  <c r="H50" i="6"/>
  <c r="T50" i="5" s="1"/>
  <c r="G50" i="6"/>
  <c r="C53" i="7"/>
  <c r="B52" i="7"/>
  <c r="V44" i="12"/>
  <c r="T44" i="12"/>
  <c r="U44" i="12"/>
  <c r="C47" i="6"/>
  <c r="O47" i="5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E51" i="12"/>
  <c r="F51" i="6"/>
  <c r="D51" i="6"/>
  <c r="AG48" i="6"/>
  <c r="AD48" i="6"/>
  <c r="G49" i="12"/>
  <c r="X49" i="5"/>
  <c r="AF49" i="6"/>
  <c r="AC49" i="6"/>
  <c r="AH49" i="6"/>
  <c r="U45" i="12" l="1"/>
  <c r="V45" i="12"/>
  <c r="A51" i="6"/>
  <c r="M51" i="6" s="1"/>
  <c r="AY51" i="6" s="1"/>
  <c r="AN50" i="6"/>
  <c r="AJ50" i="6"/>
  <c r="AH50" i="6"/>
  <c r="AR50" i="6"/>
  <c r="BC50" i="6"/>
  <c r="BF50" i="6"/>
  <c r="AM50" i="6"/>
  <c r="BG50" i="6"/>
  <c r="BA50" i="6"/>
  <c r="AS50" i="6"/>
  <c r="AT50" i="6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AB48" i="5"/>
  <c r="AA48" i="5"/>
  <c r="C48" i="12"/>
  <c r="AO48" i="12"/>
  <c r="M48" i="12"/>
  <c r="O48" i="12"/>
  <c r="I49" i="12"/>
  <c r="AM49" i="5"/>
  <c r="L49" i="5"/>
  <c r="Z49" i="5"/>
  <c r="AC49" i="5"/>
  <c r="H51" i="6"/>
  <c r="T51" i="5" s="1"/>
  <c r="G51" i="6"/>
  <c r="Y47" i="12"/>
  <c r="E47" i="6"/>
  <c r="D47" i="12"/>
  <c r="C54" i="7"/>
  <c r="B53" i="7"/>
  <c r="AB50" i="6"/>
  <c r="AK50" i="6"/>
  <c r="AD50" i="6"/>
  <c r="AE50" i="6"/>
  <c r="AF50" i="6"/>
  <c r="C48" i="6"/>
  <c r="O48" i="5"/>
  <c r="D52" i="6"/>
  <c r="L52" i="12"/>
  <c r="J52" i="12"/>
  <c r="BA51" i="6" l="1"/>
  <c r="AZ51" i="6"/>
  <c r="AF51" i="6"/>
  <c r="AU51" i="6"/>
  <c r="AS51" i="6"/>
  <c r="AQ51" i="6"/>
  <c r="N48" i="12"/>
  <c r="AP51" i="6"/>
  <c r="BG51" i="6"/>
  <c r="AV51" i="6"/>
  <c r="AO51" i="6"/>
  <c r="BC51" i="6"/>
  <c r="K52" i="12"/>
  <c r="BE51" i="6"/>
  <c r="BB51" i="6"/>
  <c r="BF51" i="6"/>
  <c r="BD51" i="6"/>
  <c r="AC51" i="6"/>
  <c r="AM51" i="6"/>
  <c r="AT51" i="6"/>
  <c r="AR51" i="6"/>
  <c r="AH51" i="6"/>
  <c r="AX51" i="6"/>
  <c r="AN51" i="6"/>
  <c r="H52" i="6"/>
  <c r="T52" i="5" s="1"/>
  <c r="W47" i="12"/>
  <c r="X47" i="12"/>
  <c r="G51" i="12"/>
  <c r="C49" i="6"/>
  <c r="O49" i="5"/>
  <c r="C49" i="12"/>
  <c r="M49" i="12"/>
  <c r="AO49" i="12"/>
  <c r="O49" i="12"/>
  <c r="Y48" i="12"/>
  <c r="L50" i="5"/>
  <c r="I50" i="12"/>
  <c r="AM50" i="5"/>
  <c r="Z50" i="5"/>
  <c r="AC50" i="5"/>
  <c r="U46" i="12"/>
  <c r="V46" i="12"/>
  <c r="T46" i="12"/>
  <c r="D53" i="6"/>
  <c r="D48" i="12"/>
  <c r="E48" i="6"/>
  <c r="C55" i="7"/>
  <c r="B54" i="7"/>
  <c r="AD51" i="6"/>
  <c r="AB51" i="6"/>
  <c r="AK51" i="6"/>
  <c r="AI51" i="6"/>
  <c r="AE51" i="6"/>
  <c r="AJ51" i="6"/>
  <c r="AG51" i="6"/>
  <c r="AB49" i="5"/>
  <c r="AA49" i="5"/>
  <c r="A52" i="6"/>
  <c r="M52" i="6" s="1"/>
  <c r="J54" i="5"/>
  <c r="AE54" i="5"/>
  <c r="E54" i="5"/>
  <c r="F54" i="5"/>
  <c r="B54" i="5"/>
  <c r="H54" i="5"/>
  <c r="A54" i="12"/>
  <c r="C55" i="5"/>
  <c r="AD54" i="5"/>
  <c r="K54" i="5"/>
  <c r="N54" i="5"/>
  <c r="D54" i="5"/>
  <c r="B54" i="12" s="1"/>
  <c r="G54" i="5"/>
  <c r="B54" i="6"/>
  <c r="W54" i="5"/>
  <c r="H54" i="12" s="1"/>
  <c r="A53" i="6" l="1"/>
  <c r="N49" i="12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X52" i="6"/>
  <c r="AM52" i="6"/>
  <c r="AV52" i="6"/>
  <c r="AI52" i="6"/>
  <c r="BB52" i="6"/>
  <c r="BG52" i="6"/>
  <c r="AK52" i="6"/>
  <c r="C56" i="5"/>
  <c r="AD55" i="5"/>
  <c r="G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H53" i="6"/>
  <c r="T53" i="5" s="1"/>
  <c r="G53" i="12" s="1"/>
  <c r="AA50" i="5"/>
  <c r="AB50" i="5"/>
  <c r="C50" i="12"/>
  <c r="O50" i="12"/>
  <c r="M50" i="12"/>
  <c r="AO50" i="12"/>
  <c r="W48" i="12"/>
  <c r="X48" i="12"/>
  <c r="V47" i="12"/>
  <c r="U47" i="12"/>
  <c r="T47" i="12"/>
  <c r="D54" i="6"/>
  <c r="J54" i="12"/>
  <c r="L54" i="12"/>
  <c r="B55" i="7"/>
  <c r="C56" i="7"/>
  <c r="C50" i="6"/>
  <c r="O50" i="5"/>
  <c r="E49" i="6"/>
  <c r="D49" i="12"/>
  <c r="G52" i="12"/>
  <c r="X52" i="5"/>
  <c r="AB52" i="6" s="1"/>
  <c r="AJ52" i="6"/>
  <c r="AG52" i="6" l="1"/>
  <c r="AH52" i="6"/>
  <c r="AF52" i="6"/>
  <c r="AE52" i="6"/>
  <c r="AD52" i="6"/>
  <c r="AC52" i="6"/>
  <c r="M53" i="6"/>
  <c r="AX53" i="6" s="1"/>
  <c r="W49" i="12"/>
  <c r="U49" i="12" s="1"/>
  <c r="Y50" i="12"/>
  <c r="X50" i="12" s="1"/>
  <c r="N50" i="12"/>
  <c r="K54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B56" i="5"/>
  <c r="I52" i="12"/>
  <c r="L52" i="5"/>
  <c r="AM52" i="5"/>
  <c r="Z52" i="5"/>
  <c r="E50" i="6"/>
  <c r="D50" i="12"/>
  <c r="C57" i="7"/>
  <c r="B56" i="7"/>
  <c r="H54" i="6"/>
  <c r="T54" i="5" s="1"/>
  <c r="V48" i="12"/>
  <c r="T48" i="12"/>
  <c r="U48" i="12"/>
  <c r="D55" i="6"/>
  <c r="A54" i="6"/>
  <c r="AF57" i="5"/>
  <c r="AN53" i="6" l="1"/>
  <c r="AP53" i="6"/>
  <c r="AY53" i="6"/>
  <c r="BC53" i="6"/>
  <c r="BG53" i="6"/>
  <c r="BF53" i="6"/>
  <c r="BB53" i="6"/>
  <c r="AO53" i="6"/>
  <c r="AM53" i="6"/>
  <c r="AJ53" i="6"/>
  <c r="AS53" i="6"/>
  <c r="AQ53" i="6"/>
  <c r="AV53" i="6"/>
  <c r="AR53" i="6"/>
  <c r="BE53" i="6"/>
  <c r="AZ53" i="6"/>
  <c r="AU53" i="6"/>
  <c r="AK53" i="6"/>
  <c r="AI53" i="6"/>
  <c r="BA53" i="6"/>
  <c r="AT53" i="6"/>
  <c r="BD53" i="6"/>
  <c r="T49" i="12"/>
  <c r="V49" i="12"/>
  <c r="W50" i="12"/>
  <c r="U50" i="12" s="1"/>
  <c r="AG57" i="5"/>
  <c r="S57" i="5"/>
  <c r="F57" i="12" s="1"/>
  <c r="K55" i="12"/>
  <c r="H55" i="6"/>
  <c r="T55" i="5" s="1"/>
  <c r="G54" i="12"/>
  <c r="X54" i="5"/>
  <c r="M54" i="6"/>
  <c r="B57" i="7"/>
  <c r="C58" i="7"/>
  <c r="C52" i="12"/>
  <c r="AO52" i="12"/>
  <c r="M52" i="12"/>
  <c r="O52" i="12"/>
  <c r="J56" i="12"/>
  <c r="L56" i="12"/>
  <c r="D56" i="6"/>
  <c r="A55" i="6"/>
  <c r="AB52" i="5"/>
  <c r="C52" i="6"/>
  <c r="R57" i="5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AF58" i="5"/>
  <c r="AH54" i="6" l="1"/>
  <c r="V50" i="12"/>
  <c r="T50" i="12"/>
  <c r="AG58" i="5"/>
  <c r="S58" i="5"/>
  <c r="F58" i="12" s="1"/>
  <c r="AG54" i="6"/>
  <c r="A56" i="6"/>
  <c r="M56" i="6" s="1"/>
  <c r="K56" i="12"/>
  <c r="N52" i="12"/>
  <c r="AE54" i="6"/>
  <c r="D57" i="6"/>
  <c r="E57" i="12"/>
  <c r="F57" i="6"/>
  <c r="H56" i="6"/>
  <c r="T56" i="5" s="1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G55" i="12"/>
  <c r="X55" i="5"/>
  <c r="B58" i="5"/>
  <c r="W58" i="5"/>
  <c r="H58" i="12" s="1"/>
  <c r="J58" i="5"/>
  <c r="R58" i="5"/>
  <c r="F58" i="5"/>
  <c r="AD58" i="5"/>
  <c r="C59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AB54" i="6"/>
  <c r="AD54" i="6"/>
  <c r="AJ54" i="6"/>
  <c r="AC54" i="6"/>
  <c r="AI54" i="6"/>
  <c r="AK54" i="6"/>
  <c r="M55" i="6"/>
  <c r="AF59" i="5"/>
  <c r="AH55" i="6" l="1"/>
  <c r="A57" i="6"/>
  <c r="M57" i="6" s="1"/>
  <c r="AM57" i="6" s="1"/>
  <c r="AG59" i="5"/>
  <c r="S59" i="5"/>
  <c r="F59" i="12" s="1"/>
  <c r="BB56" i="6"/>
  <c r="BG56" i="6"/>
  <c r="AS56" i="6"/>
  <c r="AO56" i="6"/>
  <c r="AQ56" i="6"/>
  <c r="K57" i="12"/>
  <c r="AD55" i="6"/>
  <c r="AE55" i="6"/>
  <c r="AI56" i="6"/>
  <c r="AZ56" i="6"/>
  <c r="BF56" i="6"/>
  <c r="AK56" i="6"/>
  <c r="AV56" i="6"/>
  <c r="BD56" i="6"/>
  <c r="BE56" i="6"/>
  <c r="A59" i="12"/>
  <c r="AE59" i="5"/>
  <c r="R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C54" i="6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E58" i="12"/>
  <c r="F58" i="6"/>
  <c r="AM55" i="5"/>
  <c r="I55" i="12"/>
  <c r="L55" i="5"/>
  <c r="Z55" i="5"/>
  <c r="AB54" i="5"/>
  <c r="C54" i="12"/>
  <c r="M54" i="12"/>
  <c r="O54" i="12"/>
  <c r="AO54" i="12"/>
  <c r="AX56" i="6"/>
  <c r="AP56" i="6"/>
  <c r="AU56" i="6"/>
  <c r="BA56" i="6"/>
  <c r="AT56" i="6"/>
  <c r="AN56" i="6"/>
  <c r="AR56" i="6"/>
  <c r="AY56" i="6"/>
  <c r="AM56" i="6"/>
  <c r="AJ56" i="6"/>
  <c r="BC56" i="6"/>
  <c r="G56" i="12"/>
  <c r="X56" i="5"/>
  <c r="AB56" i="6" s="1"/>
  <c r="H57" i="6"/>
  <c r="T57" i="5" s="1"/>
  <c r="G57" i="6"/>
  <c r="AF60" i="5"/>
  <c r="AH56" i="6" l="1"/>
  <c r="AG56" i="6"/>
  <c r="AE56" i="6"/>
  <c r="AF56" i="6"/>
  <c r="AD56" i="6"/>
  <c r="AC56" i="6"/>
  <c r="AR57" i="6"/>
  <c r="AO57" i="6"/>
  <c r="AE57" i="6"/>
  <c r="AG60" i="5"/>
  <c r="S60" i="5"/>
  <c r="F60" i="12" s="1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L56" i="5"/>
  <c r="I56" i="12"/>
  <c r="AM56" i="5"/>
  <c r="Z56" i="5"/>
  <c r="C55" i="12"/>
  <c r="AO55" i="12"/>
  <c r="M55" i="12"/>
  <c r="O55" i="12"/>
  <c r="T52" i="12"/>
  <c r="U52" i="12"/>
  <c r="V52" i="12"/>
  <c r="C61" i="7"/>
  <c r="B60" i="7"/>
  <c r="F59" i="6"/>
  <c r="E59" i="12"/>
  <c r="J59" i="12"/>
  <c r="L59" i="12"/>
  <c r="AH57" i="6"/>
  <c r="AD57" i="6"/>
  <c r="BC57" i="6"/>
  <c r="AZ57" i="6"/>
  <c r="BG57" i="6"/>
  <c r="AS57" i="6"/>
  <c r="G57" i="12"/>
  <c r="X57" i="5"/>
  <c r="N54" i="12"/>
  <c r="AB55" i="5"/>
  <c r="C55" i="6"/>
  <c r="G58" i="6"/>
  <c r="H58" i="6"/>
  <c r="T58" i="5" s="1"/>
  <c r="K58" i="12"/>
  <c r="C61" i="5"/>
  <c r="AE60" i="5"/>
  <c r="N60" i="5"/>
  <c r="B60" i="5"/>
  <c r="B60" i="6"/>
  <c r="J60" i="5"/>
  <c r="K60" i="5"/>
  <c r="A60" i="12"/>
  <c r="W60" i="5"/>
  <c r="H60" i="12" s="1"/>
  <c r="R60" i="5"/>
  <c r="AD60" i="5"/>
  <c r="F60" i="5"/>
  <c r="E60" i="5"/>
  <c r="D60" i="5"/>
  <c r="B60" i="12" s="1"/>
  <c r="G60" i="5"/>
  <c r="H60" i="5"/>
  <c r="D59" i="6"/>
  <c r="A58" i="6"/>
  <c r="AF61" i="5"/>
  <c r="W54" i="12" l="1"/>
  <c r="V54" i="12" s="1"/>
  <c r="AG61" i="5"/>
  <c r="S61" i="5"/>
  <c r="F61" i="12" s="1"/>
  <c r="N55" i="12"/>
  <c r="E60" i="12"/>
  <c r="F60" i="6"/>
  <c r="L60" i="12"/>
  <c r="J60" i="12"/>
  <c r="M58" i="6"/>
  <c r="AM57" i="5"/>
  <c r="I57" i="12"/>
  <c r="L57" i="5"/>
  <c r="Z57" i="5"/>
  <c r="AC57" i="5"/>
  <c r="C62" i="7"/>
  <c r="B61" i="7"/>
  <c r="Y55" i="12"/>
  <c r="AB56" i="5"/>
  <c r="C56" i="12"/>
  <c r="M56" i="12"/>
  <c r="O56" i="12"/>
  <c r="AO56" i="12"/>
  <c r="G59" i="6"/>
  <c r="H59" i="6"/>
  <c r="T59" i="5" s="1"/>
  <c r="A59" i="6"/>
  <c r="M59" i="6" s="1"/>
  <c r="D60" i="6"/>
  <c r="D61" i="5"/>
  <c r="B61" i="12" s="1"/>
  <c r="AD61" i="5"/>
  <c r="R61" i="5"/>
  <c r="A61" i="12"/>
  <c r="B61" i="5"/>
  <c r="C62" i="5" s="1"/>
  <c r="G61" i="5"/>
  <c r="J61" i="5"/>
  <c r="K61" i="5"/>
  <c r="E61" i="5"/>
  <c r="N61" i="5"/>
  <c r="W61" i="5"/>
  <c r="H61" i="12" s="1"/>
  <c r="H61" i="5"/>
  <c r="B61" i="6"/>
  <c r="AE61" i="5"/>
  <c r="F61" i="5"/>
  <c r="G58" i="12"/>
  <c r="X58" i="5"/>
  <c r="K59" i="12"/>
  <c r="C56" i="6"/>
  <c r="AF62" i="5"/>
  <c r="R62" i="5" l="1"/>
  <c r="T54" i="12"/>
  <c r="U54" i="12"/>
  <c r="Y56" i="12"/>
  <c r="X56" i="12" s="1"/>
  <c r="S62" i="5"/>
  <c r="F62" i="12" s="1"/>
  <c r="AG62" i="5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L58" i="5"/>
  <c r="I58" i="12"/>
  <c r="AM58" i="5"/>
  <c r="Z58" i="5"/>
  <c r="AC58" i="5"/>
  <c r="A62" i="12"/>
  <c r="B62" i="6"/>
  <c r="AD62" i="5"/>
  <c r="N62" i="5"/>
  <c r="W62" i="5"/>
  <c r="H62" i="12" s="1"/>
  <c r="AE62" i="5"/>
  <c r="F62" i="5"/>
  <c r="B62" i="5"/>
  <c r="G62" i="5"/>
  <c r="C63" i="5"/>
  <c r="H62" i="5"/>
  <c r="E62" i="5"/>
  <c r="J61" i="12"/>
  <c r="L61" i="12"/>
  <c r="H60" i="6"/>
  <c r="T60" i="5" s="1"/>
  <c r="G60" i="6"/>
  <c r="A60" i="6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F61" i="6"/>
  <c r="E61" i="12"/>
  <c r="AK59" i="6"/>
  <c r="AD59" i="6"/>
  <c r="AF59" i="6"/>
  <c r="AJ59" i="6"/>
  <c r="AI59" i="6"/>
  <c r="AG59" i="6"/>
  <c r="N56" i="12"/>
  <c r="W55" i="12"/>
  <c r="X55" i="12"/>
  <c r="C63" i="7"/>
  <c r="B62" i="7"/>
  <c r="AA57" i="5"/>
  <c r="AB57" i="5"/>
  <c r="C57" i="6"/>
  <c r="O57" i="5"/>
  <c r="K60" i="12"/>
  <c r="W56" i="12" l="1"/>
  <c r="U56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G61" i="6"/>
  <c r="D62" i="6"/>
  <c r="AA58" i="5"/>
  <c r="AB58" i="5"/>
  <c r="C58" i="6"/>
  <c r="O58" i="5"/>
  <c r="E57" i="6"/>
  <c r="D57" i="12"/>
  <c r="A61" i="6"/>
  <c r="M61" i="6" s="1"/>
  <c r="N57" i="12"/>
  <c r="I59" i="12"/>
  <c r="AM59" i="5"/>
  <c r="L59" i="5"/>
  <c r="Z59" i="5"/>
  <c r="AC59" i="5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K63" i="5"/>
  <c r="C64" i="5"/>
  <c r="G63" i="5"/>
  <c r="D63" i="5"/>
  <c r="B63" i="12" s="1"/>
  <c r="AD63" i="5"/>
  <c r="AE63" i="5"/>
  <c r="E62" i="12"/>
  <c r="F62" i="6"/>
  <c r="C58" i="12"/>
  <c r="AO58" i="12"/>
  <c r="M58" i="12"/>
  <c r="O58" i="12"/>
  <c r="V56" i="12" l="1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C60" i="5"/>
  <c r="A62" i="6"/>
  <c r="G62" i="6"/>
  <c r="H62" i="6"/>
  <c r="T62" i="5" s="1"/>
  <c r="V57" i="12"/>
  <c r="U57" i="12"/>
  <c r="T57" i="12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K64" i="5"/>
  <c r="B64" i="6"/>
  <c r="H64" i="5"/>
  <c r="G64" i="5"/>
  <c r="AD64" i="5"/>
  <c r="J63" i="12"/>
  <c r="L63" i="12"/>
  <c r="AB59" i="5"/>
  <c r="AA59" i="5"/>
  <c r="C59" i="6"/>
  <c r="O59" i="5"/>
  <c r="C59" i="12"/>
  <c r="M59" i="12"/>
  <c r="O59" i="12"/>
  <c r="AO59" i="12"/>
  <c r="E58" i="6"/>
  <c r="D58" i="12"/>
  <c r="AE61" i="6"/>
  <c r="AB61" i="6"/>
  <c r="AK61" i="6"/>
  <c r="AH61" i="6"/>
  <c r="M62" i="6" l="1"/>
  <c r="AZ62" i="6" s="1"/>
  <c r="N59" i="12"/>
  <c r="A63" i="6"/>
  <c r="K63" i="12"/>
  <c r="H65" i="5"/>
  <c r="AD65" i="5"/>
  <c r="J65" i="5"/>
  <c r="F65" i="5"/>
  <c r="D65" i="5"/>
  <c r="B65" i="12" s="1"/>
  <c r="B65" i="5"/>
  <c r="N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AA60" i="5"/>
  <c r="AB60" i="5"/>
  <c r="C60" i="12"/>
  <c r="AO60" i="12"/>
  <c r="M60" i="12"/>
  <c r="O60" i="12"/>
  <c r="H63" i="6"/>
  <c r="T63" i="5" s="1"/>
  <c r="Y59" i="12"/>
  <c r="D59" i="12"/>
  <c r="E59" i="6"/>
  <c r="X58" i="12"/>
  <c r="W58" i="12"/>
  <c r="I61" i="12"/>
  <c r="AM61" i="5"/>
  <c r="L61" i="5"/>
  <c r="Z61" i="5"/>
  <c r="AC61" i="5"/>
  <c r="C60" i="6"/>
  <c r="O60" i="5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B61" i="5"/>
  <c r="AA61" i="5"/>
  <c r="T58" i="12"/>
  <c r="V58" i="12"/>
  <c r="U58" i="12"/>
  <c r="W59" i="12"/>
  <c r="X59" i="12"/>
  <c r="G63" i="12"/>
  <c r="X63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D60" i="12"/>
  <c r="E60" i="6"/>
  <c r="C61" i="6"/>
  <c r="O61" i="5"/>
  <c r="C61" i="12"/>
  <c r="O61" i="12"/>
  <c r="AO61" i="12"/>
  <c r="M61" i="12"/>
  <c r="N60" i="12"/>
  <c r="Y60" i="12"/>
  <c r="H64" i="6"/>
  <c r="T64" i="5" s="1"/>
  <c r="L65" i="12"/>
  <c r="J65" i="12"/>
  <c r="A64" i="6"/>
  <c r="M64" i="6" l="1"/>
  <c r="BG64" i="6" s="1"/>
  <c r="BF63" i="6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G64" i="12"/>
  <c r="X64" i="5"/>
  <c r="W60" i="12"/>
  <c r="X60" i="12"/>
  <c r="N61" i="12"/>
  <c r="E61" i="6"/>
  <c r="D61" i="12"/>
  <c r="H65" i="6"/>
  <c r="T65" i="5" s="1"/>
  <c r="A65" i="6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V59" i="12"/>
  <c r="T59" i="12"/>
  <c r="U59" i="12"/>
  <c r="K65" i="12"/>
  <c r="Y61" i="12"/>
  <c r="D66" i="6"/>
  <c r="AM63" i="5"/>
  <c r="I63" i="12"/>
  <c r="L63" i="5"/>
  <c r="Z63" i="5"/>
  <c r="BC64" i="6" l="1"/>
  <c r="AJ64" i="6"/>
  <c r="AH64" i="6"/>
  <c r="AY64" i="6"/>
  <c r="AR64" i="6"/>
  <c r="AB64" i="6"/>
  <c r="AN64" i="6"/>
  <c r="AQ64" i="6"/>
  <c r="AM64" i="6"/>
  <c r="AO64" i="6"/>
  <c r="AV64" i="6"/>
  <c r="AS64" i="6"/>
  <c r="AI64" i="6"/>
  <c r="AG64" i="6"/>
  <c r="BA64" i="6"/>
  <c r="BE64" i="6"/>
  <c r="BF64" i="6"/>
  <c r="AZ64" i="6"/>
  <c r="AU64" i="6"/>
  <c r="AP64" i="6"/>
  <c r="AK64" i="6"/>
  <c r="BB64" i="6"/>
  <c r="AT64" i="6"/>
  <c r="AX64" i="6"/>
  <c r="BD64" i="6"/>
  <c r="AE64" i="6"/>
  <c r="AF64" i="6"/>
  <c r="AD64" i="6"/>
  <c r="AC64" i="6"/>
  <c r="A66" i="6"/>
  <c r="M65" i="6"/>
  <c r="C63" i="6"/>
  <c r="H66" i="6"/>
  <c r="T66" i="5" s="1"/>
  <c r="G66" i="12" s="1"/>
  <c r="L67" i="12"/>
  <c r="J67" i="12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B63" i="5"/>
  <c r="C63" i="12"/>
  <c r="O63" i="12"/>
  <c r="M63" i="12"/>
  <c r="AO63" i="12"/>
  <c r="W61" i="12"/>
  <c r="X61" i="12"/>
  <c r="I64" i="12"/>
  <c r="AM64" i="5"/>
  <c r="L64" i="5"/>
  <c r="Z64" i="5"/>
  <c r="AF69" i="5"/>
  <c r="AD65" i="6" l="1"/>
  <c r="M66" i="6"/>
  <c r="AZ66" i="6" s="1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AG69" i="5"/>
  <c r="S69" i="5"/>
  <c r="F69" i="12" s="1"/>
  <c r="N63" i="12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AB64" i="5"/>
  <c r="C64" i="6"/>
  <c r="C64" i="12"/>
  <c r="M64" i="12"/>
  <c r="O64" i="12"/>
  <c r="AO64" i="12"/>
  <c r="AM65" i="5"/>
  <c r="I65" i="12"/>
  <c r="L65" i="5"/>
  <c r="Z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R69" i="5"/>
  <c r="E69" i="5"/>
  <c r="A67" i="6"/>
  <c r="M67" i="6" s="1"/>
  <c r="AF70" i="5"/>
  <c r="AH66" i="6" l="1"/>
  <c r="AK66" i="6"/>
  <c r="AG66" i="6"/>
  <c r="AJ66" i="6"/>
  <c r="BF66" i="6"/>
  <c r="AN66" i="6"/>
  <c r="AI66" i="6"/>
  <c r="BE66" i="6"/>
  <c r="AM66" i="6"/>
  <c r="AQ66" i="6"/>
  <c r="AS66" i="6"/>
  <c r="AV66" i="6"/>
  <c r="AY66" i="6"/>
  <c r="BC66" i="6"/>
  <c r="BG66" i="6"/>
  <c r="AU66" i="6"/>
  <c r="AO66" i="6"/>
  <c r="AT66" i="6"/>
  <c r="AX66" i="6"/>
  <c r="AP66" i="6"/>
  <c r="BB66" i="6"/>
  <c r="BD66" i="6"/>
  <c r="AR66" i="6"/>
  <c r="BA66" i="6"/>
  <c r="X63" i="12"/>
  <c r="K68" i="12"/>
  <c r="AG70" i="5"/>
  <c r="S70" i="5"/>
  <c r="F70" i="12" s="1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Q67" i="6"/>
  <c r="AU67" i="6"/>
  <c r="BG67" i="6"/>
  <c r="AG67" i="6"/>
  <c r="AX67" i="6"/>
  <c r="AY67" i="6"/>
  <c r="E69" i="12"/>
  <c r="F69" i="6"/>
  <c r="D69" i="6"/>
  <c r="H68" i="6"/>
  <c r="T68" i="5" s="1"/>
  <c r="AB65" i="5"/>
  <c r="C65" i="6"/>
  <c r="A68" i="6"/>
  <c r="M68" i="6" s="1"/>
  <c r="G67" i="12"/>
  <c r="X67" i="5"/>
  <c r="AF67" i="6" s="1"/>
  <c r="U63" i="12"/>
  <c r="T63" i="12"/>
  <c r="V63" i="12"/>
  <c r="E70" i="5"/>
  <c r="AE70" i="5"/>
  <c r="AD70" i="5"/>
  <c r="N70" i="5"/>
  <c r="B70" i="6"/>
  <c r="K70" i="5"/>
  <c r="R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AI67" i="6"/>
  <c r="AD67" i="6"/>
  <c r="AC67" i="6"/>
  <c r="AJ67" i="6"/>
  <c r="AK67" i="6"/>
  <c r="AF71" i="5"/>
  <c r="AB67" i="6" l="1"/>
  <c r="N65" i="12"/>
  <c r="AG71" i="5"/>
  <c r="S71" i="5"/>
  <c r="F71" i="12" s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BG68" i="6"/>
  <c r="AU68" i="6"/>
  <c r="AM68" i="6"/>
  <c r="AG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R71" i="5"/>
  <c r="C72" i="5"/>
  <c r="AE71" i="5"/>
  <c r="B71" i="5"/>
  <c r="D71" i="5"/>
  <c r="B71" i="12" s="1"/>
  <c r="N71" i="5"/>
  <c r="K71" i="5"/>
  <c r="E70" i="12"/>
  <c r="F70" i="6"/>
  <c r="G68" i="12"/>
  <c r="X68" i="5"/>
  <c r="AF68" i="6" s="1"/>
  <c r="W64" i="12"/>
  <c r="X64" i="12"/>
  <c r="Y65" i="12"/>
  <c r="D70" i="6"/>
  <c r="A69" i="6"/>
  <c r="L67" i="5"/>
  <c r="AM67" i="5"/>
  <c r="I67" i="12"/>
  <c r="Z67" i="5"/>
  <c r="AH68" i="6"/>
  <c r="AJ68" i="6"/>
  <c r="AI68" i="6"/>
  <c r="G69" i="6"/>
  <c r="H69" i="6"/>
  <c r="T69" i="5" s="1"/>
  <c r="AF72" i="5"/>
  <c r="AD68" i="6" l="1"/>
  <c r="AB68" i="6"/>
  <c r="AE68" i="6"/>
  <c r="AC68" i="6"/>
  <c r="AG72" i="5"/>
  <c r="S72" i="5"/>
  <c r="F72" i="12" s="1"/>
  <c r="A70" i="6"/>
  <c r="M70" i="6" s="1"/>
  <c r="BE70" i="6" s="1"/>
  <c r="G69" i="12"/>
  <c r="X69" i="5"/>
  <c r="AB67" i="5"/>
  <c r="L68" i="5"/>
  <c r="I68" i="12"/>
  <c r="AM68" i="5"/>
  <c r="Z68" i="5"/>
  <c r="D71" i="6"/>
  <c r="E71" i="12"/>
  <c r="F71" i="6"/>
  <c r="L71" i="12"/>
  <c r="J71" i="12"/>
  <c r="K70" i="12"/>
  <c r="M69" i="6"/>
  <c r="C67" i="12"/>
  <c r="O67" i="12"/>
  <c r="M67" i="12"/>
  <c r="AO67" i="12"/>
  <c r="C67" i="6"/>
  <c r="H70" i="6"/>
  <c r="T70" i="5" s="1"/>
  <c r="G70" i="6"/>
  <c r="W65" i="12"/>
  <c r="X65" i="12"/>
  <c r="V64" i="12"/>
  <c r="T64" i="12"/>
  <c r="U64" i="12"/>
  <c r="F72" i="5"/>
  <c r="G72" i="5"/>
  <c r="R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AF73" i="5"/>
  <c r="Y67" i="12" l="1"/>
  <c r="W67" i="12" s="1"/>
  <c r="A71" i="6"/>
  <c r="M71" i="6" s="1"/>
  <c r="AV71" i="6" s="1"/>
  <c r="N67" i="12"/>
  <c r="AG73" i="5"/>
  <c r="S73" i="5"/>
  <c r="F73" i="12" s="1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R73" i="5"/>
  <c r="G73" i="5"/>
  <c r="N73" i="5"/>
  <c r="F73" i="5"/>
  <c r="K73" i="5"/>
  <c r="L72" i="12"/>
  <c r="J72" i="12"/>
  <c r="F72" i="6"/>
  <c r="E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G71" i="6"/>
  <c r="AB68" i="5"/>
  <c r="C68" i="6"/>
  <c r="AG69" i="6"/>
  <c r="AM69" i="5"/>
  <c r="I69" i="12"/>
  <c r="L69" i="5"/>
  <c r="Z69" i="5"/>
  <c r="AC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F74" i="5"/>
  <c r="X67" i="12" l="1"/>
  <c r="A72" i="6"/>
  <c r="M72" i="6" s="1"/>
  <c r="BA72" i="6" s="1"/>
  <c r="R74" i="5"/>
  <c r="AQ71" i="6"/>
  <c r="AP71" i="6"/>
  <c r="AC71" i="6"/>
  <c r="BF71" i="6"/>
  <c r="AG74" i="5"/>
  <c r="S74" i="5"/>
  <c r="F74" i="12" s="1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O69" i="5"/>
  <c r="T67" i="12"/>
  <c r="V67" i="12"/>
  <c r="U67" i="12"/>
  <c r="J73" i="12"/>
  <c r="L73" i="12"/>
  <c r="N68" i="12"/>
  <c r="I70" i="12"/>
  <c r="L70" i="5"/>
  <c r="AM70" i="5"/>
  <c r="Z70" i="5"/>
  <c r="AC70" i="5"/>
  <c r="H72" i="6"/>
  <c r="T72" i="5" s="1"/>
  <c r="G72" i="6"/>
  <c r="AB69" i="5"/>
  <c r="AA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E73" i="12"/>
  <c r="F73" i="6"/>
  <c r="AF75" i="5"/>
  <c r="A73" i="6" l="1"/>
  <c r="M73" i="6" s="1"/>
  <c r="BC73" i="6" s="1"/>
  <c r="N69" i="12"/>
  <c r="K73" i="12"/>
  <c r="W68" i="12"/>
  <c r="U68" i="12" s="1"/>
  <c r="AG75" i="5"/>
  <c r="S75" i="5"/>
  <c r="F75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AA70" i="5"/>
  <c r="C70" i="6"/>
  <c r="O70" i="5"/>
  <c r="D69" i="12"/>
  <c r="E69" i="6"/>
  <c r="T68" i="12"/>
  <c r="E74" i="12"/>
  <c r="F74" i="6"/>
  <c r="H73" i="6"/>
  <c r="T73" i="5" s="1"/>
  <c r="G73" i="6"/>
  <c r="I71" i="12"/>
  <c r="AM71" i="5"/>
  <c r="L71" i="5"/>
  <c r="Z71" i="5"/>
  <c r="AC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R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F76" i="5"/>
  <c r="A74" i="6" l="1"/>
  <c r="M74" i="6" s="1"/>
  <c r="AS74" i="6" s="1"/>
  <c r="V68" i="12"/>
  <c r="AX73" i="6"/>
  <c r="BF73" i="6"/>
  <c r="S76" i="5"/>
  <c r="F76" i="12" s="1"/>
  <c r="AG76" i="5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R76" i="5"/>
  <c r="N76" i="5"/>
  <c r="A76" i="12"/>
  <c r="C77" i="5"/>
  <c r="E76" i="5"/>
  <c r="AE76" i="5"/>
  <c r="K76" i="5"/>
  <c r="AD76" i="5"/>
  <c r="F76" i="5"/>
  <c r="W76" i="5"/>
  <c r="H76" i="12" s="1"/>
  <c r="F75" i="6"/>
  <c r="E75" i="12"/>
  <c r="Y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L75" i="12"/>
  <c r="J75" i="12"/>
  <c r="D75" i="6"/>
  <c r="G74" i="6"/>
  <c r="H74" i="6"/>
  <c r="T74" i="5" s="1"/>
  <c r="G74" i="12" s="1"/>
  <c r="AM72" i="5"/>
  <c r="I72" i="12"/>
  <c r="L72" i="5"/>
  <c r="Z72" i="5"/>
  <c r="AC72" i="5"/>
  <c r="AB71" i="5"/>
  <c r="AA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AF77" i="5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G77" i="5"/>
  <c r="S77" i="5"/>
  <c r="F77" i="12" s="1"/>
  <c r="AK74" i="6"/>
  <c r="AJ74" i="6"/>
  <c r="AB72" i="5"/>
  <c r="AA72" i="5"/>
  <c r="C72" i="6"/>
  <c r="O72" i="5"/>
  <c r="I73" i="12"/>
  <c r="L73" i="5"/>
  <c r="AM73" i="5"/>
  <c r="Z73" i="5"/>
  <c r="AC73" i="5"/>
  <c r="D71" i="12"/>
  <c r="E71" i="6"/>
  <c r="V69" i="12"/>
  <c r="T69" i="12"/>
  <c r="U69" i="12"/>
  <c r="W70" i="12"/>
  <c r="X70" i="12"/>
  <c r="J76" i="12"/>
  <c r="L76" i="12"/>
  <c r="F76" i="6"/>
  <c r="E76" i="12"/>
  <c r="C72" i="12"/>
  <c r="O72" i="12"/>
  <c r="M72" i="12"/>
  <c r="AO72" i="12"/>
  <c r="AD74" i="6"/>
  <c r="AB74" i="6"/>
  <c r="AF74" i="6"/>
  <c r="AG74" i="6"/>
  <c r="H75" i="6"/>
  <c r="T75" i="5" s="1"/>
  <c r="G75" i="6"/>
  <c r="K75" i="12"/>
  <c r="Y71" i="12"/>
  <c r="A77" i="12"/>
  <c r="H77" i="5"/>
  <c r="J77" i="5"/>
  <c r="C78" i="5"/>
  <c r="K77" i="5"/>
  <c r="B77" i="5"/>
  <c r="N77" i="5"/>
  <c r="R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8" i="5"/>
  <c r="Y72" i="12" l="1"/>
  <c r="W72" i="12" s="1"/>
  <c r="AG78" i="5"/>
  <c r="S78" i="5"/>
  <c r="F78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G76" i="6"/>
  <c r="H76" i="6"/>
  <c r="T76" i="5" s="1"/>
  <c r="E77" i="12"/>
  <c r="F77" i="6"/>
  <c r="R78" i="5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A73" i="5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O73" i="5"/>
  <c r="D72" i="12"/>
  <c r="E72" i="6"/>
  <c r="AF79" i="5"/>
  <c r="X72" i="12" l="1"/>
  <c r="S79" i="5"/>
  <c r="F79" i="12" s="1"/>
  <c r="AG79" i="5"/>
  <c r="N73" i="12"/>
  <c r="A77" i="6"/>
  <c r="M77" i="6" s="1"/>
  <c r="D73" i="12"/>
  <c r="E73" i="6"/>
  <c r="K77" i="12"/>
  <c r="H77" i="6"/>
  <c r="T77" i="5" s="1"/>
  <c r="G77" i="6"/>
  <c r="Y73" i="12"/>
  <c r="V72" i="12"/>
  <c r="U72" i="12"/>
  <c r="T72" i="12"/>
  <c r="B79" i="6"/>
  <c r="E79" i="5"/>
  <c r="F79" i="5"/>
  <c r="D79" i="5"/>
  <c r="B79" i="12" s="1"/>
  <c r="J79" i="5"/>
  <c r="H79" i="5"/>
  <c r="N79" i="5"/>
  <c r="R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E78" i="12"/>
  <c r="F78" i="6"/>
  <c r="M76" i="6"/>
  <c r="AJ76" i="6" s="1"/>
  <c r="L75" i="5"/>
  <c r="I75" i="12"/>
  <c r="AM75" i="5"/>
  <c r="Z75" i="5"/>
  <c r="AC75" i="5"/>
  <c r="U71" i="12"/>
  <c r="T71" i="12"/>
  <c r="V71" i="12"/>
  <c r="G76" i="12"/>
  <c r="X76" i="5"/>
  <c r="AF80" i="5"/>
  <c r="S80" i="5" l="1"/>
  <c r="F80" i="12" s="1"/>
  <c r="AG80" i="5"/>
  <c r="AB76" i="6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R80" i="5"/>
  <c r="B80" i="6"/>
  <c r="K80" i="5"/>
  <c r="G80" i="5"/>
  <c r="F80" i="5"/>
  <c r="N80" i="5"/>
  <c r="C81" i="5"/>
  <c r="J80" i="5"/>
  <c r="B80" i="5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C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F81" i="5"/>
  <c r="AG81" i="5" l="1"/>
  <c r="S81" i="5"/>
  <c r="F81" i="12" s="1"/>
  <c r="AY78" i="6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C77" i="5"/>
  <c r="A79" i="6"/>
  <c r="M79" i="6" s="1"/>
  <c r="G78" i="12"/>
  <c r="X78" i="5"/>
  <c r="AC78" i="6"/>
  <c r="AI78" i="6"/>
  <c r="AJ78" i="6"/>
  <c r="E75" i="6"/>
  <c r="D75" i="12"/>
  <c r="AA76" i="5"/>
  <c r="AB76" i="5"/>
  <c r="C76" i="6"/>
  <c r="O76" i="5"/>
  <c r="A81" i="12"/>
  <c r="B81" i="6"/>
  <c r="E81" i="5"/>
  <c r="R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E80" i="12"/>
  <c r="F80" i="6"/>
  <c r="L80" i="12"/>
  <c r="J80" i="12"/>
  <c r="Y75" i="12"/>
  <c r="AF82" i="5"/>
  <c r="N76" i="12" l="1"/>
  <c r="S82" i="5"/>
  <c r="F82" i="12" s="1"/>
  <c r="AG82" i="5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R82" i="5"/>
  <c r="G82" i="5"/>
  <c r="AE82" i="5"/>
  <c r="E81" i="12"/>
  <c r="F81" i="6"/>
  <c r="D76" i="12"/>
  <c r="E76" i="6"/>
  <c r="C77" i="12"/>
  <c r="O77" i="12"/>
  <c r="AO77" i="12"/>
  <c r="M77" i="12"/>
  <c r="G79" i="12"/>
  <c r="X79" i="5"/>
  <c r="AE79" i="6"/>
  <c r="AH79" i="6"/>
  <c r="AD79" i="6"/>
  <c r="K80" i="12"/>
  <c r="J81" i="12"/>
  <c r="L81" i="12"/>
  <c r="L78" i="5"/>
  <c r="AM78" i="5"/>
  <c r="I78" i="12"/>
  <c r="Z78" i="5"/>
  <c r="AC78" i="5"/>
  <c r="AA77" i="5"/>
  <c r="AB77" i="5"/>
  <c r="C77" i="6"/>
  <c r="O77" i="5"/>
  <c r="A80" i="6"/>
  <c r="M80" i="6" s="1"/>
  <c r="AX80" i="6" s="1"/>
  <c r="H80" i="6"/>
  <c r="T80" i="5" s="1"/>
  <c r="G80" i="6"/>
  <c r="Y76" i="12"/>
  <c r="AG79" i="6"/>
  <c r="AK79" i="6"/>
  <c r="AF79" i="6"/>
  <c r="AC79" i="6"/>
  <c r="AB79" i="6"/>
  <c r="AI79" i="6"/>
  <c r="AF83" i="5"/>
  <c r="K81" i="12" l="1"/>
  <c r="AG83" i="5"/>
  <c r="S83" i="5"/>
  <c r="F83" i="12" s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AA78" i="5"/>
  <c r="C78" i="12"/>
  <c r="AO78" i="12"/>
  <c r="M78" i="12"/>
  <c r="O78" i="12"/>
  <c r="C78" i="6"/>
  <c r="O78" i="5"/>
  <c r="AM79" i="5"/>
  <c r="I79" i="12"/>
  <c r="L79" i="5"/>
  <c r="Z79" i="5"/>
  <c r="AC79" i="5"/>
  <c r="N77" i="12"/>
  <c r="E82" i="12"/>
  <c r="F82" i="6"/>
  <c r="D82" i="6"/>
  <c r="L82" i="12"/>
  <c r="J82" i="12"/>
  <c r="G81" i="6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E77" i="6"/>
  <c r="D77" i="12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R83" i="5"/>
  <c r="F83" i="5"/>
  <c r="C84" i="5"/>
  <c r="T75" i="12"/>
  <c r="V75" i="12"/>
  <c r="U75" i="12"/>
  <c r="AF84" i="5"/>
  <c r="AG84" i="5" l="1"/>
  <c r="S84" i="5"/>
  <c r="F84" i="12" s="1"/>
  <c r="M81" i="6"/>
  <c r="AF81" i="6" s="1"/>
  <c r="N78" i="12"/>
  <c r="J84" i="5"/>
  <c r="W84" i="5"/>
  <c r="H84" i="12" s="1"/>
  <c r="G84" i="5"/>
  <c r="F84" i="5"/>
  <c r="A84" i="12"/>
  <c r="K84" i="5"/>
  <c r="H84" i="5"/>
  <c r="B84" i="6"/>
  <c r="R84" i="5"/>
  <c r="B84" i="5"/>
  <c r="E84" i="5"/>
  <c r="D84" i="5"/>
  <c r="B84" i="12" s="1"/>
  <c r="AE84" i="5"/>
  <c r="AD84" i="5"/>
  <c r="C85" i="5"/>
  <c r="N84" i="5"/>
  <c r="E83" i="12"/>
  <c r="F83" i="6"/>
  <c r="U76" i="12"/>
  <c r="V76" i="12"/>
  <c r="T76" i="12"/>
  <c r="G82" i="6"/>
  <c r="H82" i="6"/>
  <c r="T82" i="5" s="1"/>
  <c r="A82" i="6"/>
  <c r="C79" i="12"/>
  <c r="M79" i="12"/>
  <c r="O79" i="12"/>
  <c r="AO79" i="12"/>
  <c r="D78" i="12"/>
  <c r="E78" i="6"/>
  <c r="Y78" i="12"/>
  <c r="AM80" i="5"/>
  <c r="L80" i="5"/>
  <c r="I80" i="12"/>
  <c r="Z80" i="5"/>
  <c r="AC80" i="5"/>
  <c r="D83" i="6"/>
  <c r="J83" i="12"/>
  <c r="L83" i="12"/>
  <c r="X77" i="12"/>
  <c r="W77" i="12"/>
  <c r="G81" i="12"/>
  <c r="X81" i="5"/>
  <c r="K82" i="12"/>
  <c r="AA79" i="5"/>
  <c r="AB79" i="5"/>
  <c r="C79" i="6"/>
  <c r="O79" i="5"/>
  <c r="AF85" i="5"/>
  <c r="BE81" i="6" l="1"/>
  <c r="AS81" i="6"/>
  <c r="AC81" i="6"/>
  <c r="AT81" i="6"/>
  <c r="AB81" i="6"/>
  <c r="BC81" i="6"/>
  <c r="AX81" i="6"/>
  <c r="AO81" i="6"/>
  <c r="AD81" i="6"/>
  <c r="N79" i="12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D79" i="12"/>
  <c r="E79" i="6"/>
  <c r="G83" i="6"/>
  <c r="H83" i="6"/>
  <c r="T83" i="5" s="1"/>
  <c r="C80" i="6"/>
  <c r="O80" i="5"/>
  <c r="W78" i="12"/>
  <c r="X78" i="12"/>
  <c r="D84" i="6"/>
  <c r="AM81" i="5"/>
  <c r="I81" i="12"/>
  <c r="L81" i="5"/>
  <c r="Z81" i="5"/>
  <c r="AC81" i="5"/>
  <c r="V77" i="12"/>
  <c r="T77" i="12"/>
  <c r="U77" i="12"/>
  <c r="AA80" i="5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R85" i="5"/>
  <c r="C86" i="5"/>
  <c r="E84" i="12"/>
  <c r="F84" i="6"/>
  <c r="J84" i="12"/>
  <c r="L84" i="12"/>
  <c r="AF86" i="5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S86" i="5"/>
  <c r="F86" i="12" s="1"/>
  <c r="AG86" i="5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R86" i="5"/>
  <c r="L85" i="12"/>
  <c r="J85" i="12"/>
  <c r="D85" i="6"/>
  <c r="I82" i="12"/>
  <c r="L82" i="5"/>
  <c r="AM82" i="5"/>
  <c r="Z82" i="5"/>
  <c r="AC82" i="5"/>
  <c r="W79" i="12"/>
  <c r="X79" i="12"/>
  <c r="C81" i="12"/>
  <c r="AO81" i="12"/>
  <c r="O81" i="12"/>
  <c r="M81" i="12"/>
  <c r="H84" i="6"/>
  <c r="T84" i="5" s="1"/>
  <c r="G84" i="6"/>
  <c r="D80" i="12"/>
  <c r="E80" i="6"/>
  <c r="G83" i="12"/>
  <c r="X83" i="5"/>
  <c r="E85" i="12"/>
  <c r="F85" i="6"/>
  <c r="N80" i="12"/>
  <c r="Y80" i="12"/>
  <c r="AA81" i="5"/>
  <c r="AB81" i="5"/>
  <c r="C81" i="6"/>
  <c r="O81" i="5"/>
  <c r="U78" i="12"/>
  <c r="V78" i="12"/>
  <c r="T78" i="12"/>
  <c r="AF87" i="5"/>
  <c r="AD83" i="6" l="1"/>
  <c r="AQ83" i="6"/>
  <c r="AY83" i="6"/>
  <c r="AI83" i="6"/>
  <c r="AC83" i="6"/>
  <c r="AZ83" i="6"/>
  <c r="BA83" i="6"/>
  <c r="AK83" i="6"/>
  <c r="A85" i="6"/>
  <c r="M85" i="6" s="1"/>
  <c r="AO85" i="6" s="1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S87" i="5"/>
  <c r="F87" i="12" s="1"/>
  <c r="AG87" i="5"/>
  <c r="AJ84" i="6"/>
  <c r="AI84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R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C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O82" i="5"/>
  <c r="K85" i="12"/>
  <c r="F86" i="6"/>
  <c r="E86" i="12"/>
  <c r="AF88" i="5"/>
  <c r="A86" i="6" l="1"/>
  <c r="M86" i="6" s="1"/>
  <c r="BA86" i="6" s="1"/>
  <c r="BG85" i="6"/>
  <c r="AN85" i="6"/>
  <c r="BD85" i="6"/>
  <c r="AP85" i="6"/>
  <c r="AG88" i="5"/>
  <c r="S88" i="5"/>
  <c r="F88" i="12" s="1"/>
  <c r="AQ85" i="6"/>
  <c r="AT85" i="6"/>
  <c r="AY85" i="6"/>
  <c r="BA85" i="6"/>
  <c r="AU85" i="6"/>
  <c r="AS85" i="6"/>
  <c r="BF85" i="6"/>
  <c r="AM85" i="6"/>
  <c r="Y82" i="12"/>
  <c r="W82" i="12" s="1"/>
  <c r="D82" i="12"/>
  <c r="E82" i="6"/>
  <c r="W81" i="12"/>
  <c r="X81" i="12"/>
  <c r="C83" i="6"/>
  <c r="O83" i="5"/>
  <c r="H86" i="6"/>
  <c r="T86" i="5" s="1"/>
  <c r="G86" i="6"/>
  <c r="J87" i="12"/>
  <c r="L87" i="12"/>
  <c r="F87" i="6"/>
  <c r="E87" i="12"/>
  <c r="G85" i="12"/>
  <c r="X85" i="5"/>
  <c r="AC85" i="6"/>
  <c r="AF85" i="6"/>
  <c r="V80" i="12"/>
  <c r="T80" i="12"/>
  <c r="U80" i="12"/>
  <c r="I84" i="12"/>
  <c r="L84" i="5"/>
  <c r="AM84" i="5"/>
  <c r="Z84" i="5"/>
  <c r="AC84" i="5"/>
  <c r="AB83" i="5"/>
  <c r="AA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R88" i="5"/>
  <c r="J88" i="5"/>
  <c r="A88" i="12"/>
  <c r="C89" i="5"/>
  <c r="F88" i="5"/>
  <c r="AE88" i="5"/>
  <c r="AD88" i="5"/>
  <c r="AB85" i="6"/>
  <c r="AV85" i="6"/>
  <c r="AD85" i="6"/>
  <c r="BB85" i="6"/>
  <c r="AK85" i="6"/>
  <c r="AZ85" i="6"/>
  <c r="AR85" i="6"/>
  <c r="AX85" i="6"/>
  <c r="AI85" i="6"/>
  <c r="AH85" i="6"/>
  <c r="BC85" i="6"/>
  <c r="AJ85" i="6"/>
  <c r="AE85" i="6"/>
  <c r="BE85" i="6"/>
  <c r="AG85" i="6"/>
  <c r="N82" i="12"/>
  <c r="AF89" i="5"/>
  <c r="A87" i="6" l="1"/>
  <c r="M87" i="6" s="1"/>
  <c r="AV87" i="6" s="1"/>
  <c r="X82" i="12"/>
  <c r="AT86" i="6"/>
  <c r="AG86" i="6"/>
  <c r="AU86" i="6"/>
  <c r="AZ86" i="6"/>
  <c r="AP86" i="6"/>
  <c r="AJ86" i="6"/>
  <c r="S89" i="5"/>
  <c r="F89" i="12" s="1"/>
  <c r="AG89" i="5"/>
  <c r="AM86" i="6"/>
  <c r="AN86" i="6"/>
  <c r="AQ86" i="6"/>
  <c r="BE86" i="6"/>
  <c r="AF86" i="6"/>
  <c r="BG86" i="6"/>
  <c r="K87" i="12"/>
  <c r="BC86" i="6"/>
  <c r="AO86" i="6"/>
  <c r="AE86" i="6"/>
  <c r="AV86" i="6"/>
  <c r="AR86" i="6"/>
  <c r="BB86" i="6"/>
  <c r="AS86" i="6"/>
  <c r="BD86" i="6"/>
  <c r="AY86" i="6"/>
  <c r="BF86" i="6"/>
  <c r="AX86" i="6"/>
  <c r="R89" i="5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AC85" i="5"/>
  <c r="G86" i="12"/>
  <c r="X86" i="5"/>
  <c r="D83" i="12"/>
  <c r="E83" i="6"/>
  <c r="J88" i="12"/>
  <c r="L88" i="12"/>
  <c r="F88" i="6"/>
  <c r="E88" i="12"/>
  <c r="H87" i="6"/>
  <c r="T87" i="5" s="1"/>
  <c r="G87" i="6"/>
  <c r="N83" i="12"/>
  <c r="Y83" i="12"/>
  <c r="AB84" i="5"/>
  <c r="AA84" i="5"/>
  <c r="C84" i="6"/>
  <c r="O84" i="5"/>
  <c r="T82" i="12"/>
  <c r="V82" i="12"/>
  <c r="U82" i="12"/>
  <c r="AH86" i="6"/>
  <c r="AC86" i="6"/>
  <c r="AB86" i="6"/>
  <c r="AI86" i="6"/>
  <c r="AD86" i="6"/>
  <c r="AK86" i="6"/>
  <c r="U81" i="12"/>
  <c r="V81" i="12"/>
  <c r="T81" i="12"/>
  <c r="AF90" i="5"/>
  <c r="A88" i="6" l="1"/>
  <c r="M88" i="6" s="1"/>
  <c r="AN88" i="6" s="1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G90" i="5"/>
  <c r="S90" i="5"/>
  <c r="F90" i="12" s="1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C86" i="5"/>
  <c r="AA85" i="5"/>
  <c r="AB85" i="5"/>
  <c r="C85" i="12"/>
  <c r="O85" i="12"/>
  <c r="AO85" i="12"/>
  <c r="M85" i="12"/>
  <c r="H88" i="6"/>
  <c r="T88" i="5" s="1"/>
  <c r="G88" i="6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R90" i="5"/>
  <c r="C91" i="5"/>
  <c r="K90" i="5"/>
  <c r="G90" i="5"/>
  <c r="AD90" i="5"/>
  <c r="AK87" i="6"/>
  <c r="AF87" i="6"/>
  <c r="AH87" i="6"/>
  <c r="AD87" i="6"/>
  <c r="C85" i="6"/>
  <c r="O85" i="5"/>
  <c r="N84" i="12"/>
  <c r="D89" i="6"/>
  <c r="F89" i="6"/>
  <c r="E89" i="12"/>
  <c r="AF91" i="5"/>
  <c r="AO88" i="6" l="1"/>
  <c r="W84" i="12"/>
  <c r="U84" i="12" s="1"/>
  <c r="BF88" i="6"/>
  <c r="AG91" i="5"/>
  <c r="S91" i="5"/>
  <c r="F91" i="12" s="1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G89" i="6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R91" i="5"/>
  <c r="AE91" i="5"/>
  <c r="H91" i="5"/>
  <c r="AD91" i="5"/>
  <c r="B91" i="5"/>
  <c r="F90" i="6"/>
  <c r="E90" i="12"/>
  <c r="L90" i="12"/>
  <c r="J90" i="12"/>
  <c r="N85" i="12"/>
  <c r="C86" i="12"/>
  <c r="AO86" i="12"/>
  <c r="M86" i="12"/>
  <c r="O86" i="12"/>
  <c r="I87" i="12"/>
  <c r="L87" i="5"/>
  <c r="AM87" i="5"/>
  <c r="Z87" i="5"/>
  <c r="AC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AF92" i="5"/>
  <c r="V84" i="12" l="1"/>
  <c r="T84" i="12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AA87" i="5"/>
  <c r="AB87" i="5"/>
  <c r="C87" i="12"/>
  <c r="AO87" i="12"/>
  <c r="O87" i="12"/>
  <c r="M87" i="12"/>
  <c r="D91" i="6"/>
  <c r="AM88" i="5"/>
  <c r="I88" i="12"/>
  <c r="L88" i="5"/>
  <c r="Z88" i="5"/>
  <c r="AC88" i="5"/>
  <c r="H90" i="6"/>
  <c r="T90" i="5" s="1"/>
  <c r="G90" i="6"/>
  <c r="C87" i="6"/>
  <c r="O87" i="5"/>
  <c r="N86" i="12"/>
  <c r="Y86" i="12"/>
  <c r="K90" i="12"/>
  <c r="F91" i="6"/>
  <c r="E91" i="12"/>
  <c r="C93" i="5"/>
  <c r="J92" i="5"/>
  <c r="H92" i="5"/>
  <c r="R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AA88" i="5"/>
  <c r="C88" i="6"/>
  <c r="O88" i="5"/>
  <c r="H91" i="6"/>
  <c r="T91" i="5" s="1"/>
  <c r="G91" i="6"/>
  <c r="A91" i="6"/>
  <c r="U85" i="12"/>
  <c r="V85" i="12"/>
  <c r="T85" i="12"/>
  <c r="I89" i="12"/>
  <c r="L89" i="5"/>
  <c r="AM89" i="5"/>
  <c r="Z89" i="5"/>
  <c r="AC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R93" i="5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F94" i="5"/>
  <c r="BF90" i="6" l="1"/>
  <c r="AO90" i="6"/>
  <c r="AF90" i="6"/>
  <c r="AR90" i="6"/>
  <c r="AE90" i="6"/>
  <c r="AZ90" i="6"/>
  <c r="AS90" i="6"/>
  <c r="AU90" i="6"/>
  <c r="BD90" i="6"/>
  <c r="AC90" i="6"/>
  <c r="AQ90" i="6"/>
  <c r="BA90" i="6"/>
  <c r="AP90" i="6"/>
  <c r="AG90" i="6"/>
  <c r="AB90" i="6"/>
  <c r="AX90" i="6"/>
  <c r="AK90" i="6"/>
  <c r="AV90" i="6"/>
  <c r="BE90" i="6"/>
  <c r="AI90" i="6"/>
  <c r="BG90" i="6"/>
  <c r="BB90" i="6"/>
  <c r="AD90" i="6"/>
  <c r="AJ90" i="6"/>
  <c r="N88" i="12"/>
  <c r="BC90" i="6"/>
  <c r="AN90" i="6"/>
  <c r="AH90" i="6"/>
  <c r="AM90" i="6"/>
  <c r="AY90" i="6"/>
  <c r="A92" i="6"/>
  <c r="M92" i="6" s="1"/>
  <c r="AP92" i="6" s="1"/>
  <c r="S94" i="5"/>
  <c r="F94" i="12" s="1"/>
  <c r="AG94" i="5"/>
  <c r="M91" i="6"/>
  <c r="BE91" i="6" s="1"/>
  <c r="K92" i="12"/>
  <c r="V86" i="12"/>
  <c r="T86" i="12"/>
  <c r="U86" i="12"/>
  <c r="F93" i="6"/>
  <c r="E93" i="12"/>
  <c r="L93" i="12"/>
  <c r="J93" i="12"/>
  <c r="C89" i="6"/>
  <c r="O89" i="5"/>
  <c r="D88" i="12"/>
  <c r="E88" i="6"/>
  <c r="I90" i="12"/>
  <c r="AM90" i="5"/>
  <c r="L90" i="5"/>
  <c r="Z90" i="5"/>
  <c r="AC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R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G92" i="6"/>
  <c r="AF95" i="5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S95" i="5"/>
  <c r="F95" i="12" s="1"/>
  <c r="AG95" i="5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G93" i="6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AC91" i="5"/>
  <c r="Y89" i="12"/>
  <c r="L94" i="12"/>
  <c r="J94" i="12"/>
  <c r="E94" i="12"/>
  <c r="F94" i="6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R95" i="5"/>
  <c r="J95" i="5"/>
  <c r="B95" i="5"/>
  <c r="B95" i="6"/>
  <c r="X88" i="12"/>
  <c r="W88" i="12"/>
  <c r="C90" i="6"/>
  <c r="O90" i="5"/>
  <c r="C90" i="12"/>
  <c r="AO90" i="12"/>
  <c r="M90" i="12"/>
  <c r="O90" i="12"/>
  <c r="AF96" i="5"/>
  <c r="A94" i="6" l="1"/>
  <c r="M94" i="6" s="1"/>
  <c r="AX94" i="6" s="1"/>
  <c r="BD93" i="6"/>
  <c r="AY93" i="6"/>
  <c r="AR93" i="6"/>
  <c r="S96" i="5"/>
  <c r="F96" i="12" s="1"/>
  <c r="AG96" i="5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J95" i="12"/>
  <c r="L95" i="12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R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G94" i="6"/>
  <c r="AF97" i="5"/>
  <c r="Y91" i="12" l="1"/>
  <c r="X91" i="12" s="1"/>
  <c r="S97" i="5"/>
  <c r="F97" i="12" s="1"/>
  <c r="AG97" i="5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L96" i="12"/>
  <c r="J96" i="12"/>
  <c r="G97" i="5"/>
  <c r="F97" i="5"/>
  <c r="A97" i="12"/>
  <c r="AE97" i="5"/>
  <c r="J97" i="5"/>
  <c r="AD97" i="5"/>
  <c r="N97" i="5"/>
  <c r="D97" i="5"/>
  <c r="B97" i="12" s="1"/>
  <c r="R97" i="5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G95" i="6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C93" i="5"/>
  <c r="E96" i="12"/>
  <c r="F96" i="6"/>
  <c r="A95" i="6"/>
  <c r="C92" i="6"/>
  <c r="O92" i="5"/>
  <c r="W90" i="12"/>
  <c r="X90" i="12"/>
  <c r="AF98" i="5"/>
  <c r="W91" i="12" l="1"/>
  <c r="V91" i="12" s="1"/>
  <c r="S98" i="5"/>
  <c r="F98" i="12" s="1"/>
  <c r="AG98" i="5"/>
  <c r="A96" i="6"/>
  <c r="M96" i="6" s="1"/>
  <c r="N92" i="12"/>
  <c r="T90" i="12"/>
  <c r="U90" i="12"/>
  <c r="V90" i="12"/>
  <c r="C93" i="12"/>
  <c r="O93" i="12"/>
  <c r="AO93" i="12"/>
  <c r="M93" i="12"/>
  <c r="C93" i="6"/>
  <c r="O93" i="5"/>
  <c r="G96" i="6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AC94" i="5"/>
  <c r="G95" i="12"/>
  <c r="X95" i="5"/>
  <c r="M95" i="6"/>
  <c r="AI95" i="6" s="1"/>
  <c r="Y92" i="12"/>
  <c r="W98" i="5"/>
  <c r="H98" i="12" s="1"/>
  <c r="N98" i="5"/>
  <c r="C99" i="5"/>
  <c r="F98" i="5"/>
  <c r="G98" i="5"/>
  <c r="H98" i="5"/>
  <c r="AE98" i="5"/>
  <c r="R98" i="5"/>
  <c r="B98" i="6"/>
  <c r="D98" i="5"/>
  <c r="B98" i="12" s="1"/>
  <c r="AD98" i="5"/>
  <c r="E98" i="5"/>
  <c r="K98" i="5"/>
  <c r="B98" i="5"/>
  <c r="J98" i="5"/>
  <c r="A98" i="12"/>
  <c r="E97" i="12"/>
  <c r="F97" i="6"/>
  <c r="K96" i="12"/>
  <c r="AF99" i="5"/>
  <c r="U91" i="12" l="1"/>
  <c r="T91" i="12"/>
  <c r="A97" i="6"/>
  <c r="M97" i="6" s="1"/>
  <c r="AT97" i="6" s="1"/>
  <c r="AS96" i="6"/>
  <c r="AP96" i="6"/>
  <c r="AU96" i="6"/>
  <c r="S99" i="5"/>
  <c r="F99" i="12" s="1"/>
  <c r="AG99" i="5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R99" i="5"/>
  <c r="AE99" i="5"/>
  <c r="F99" i="5"/>
  <c r="B99" i="5"/>
  <c r="G99" i="5"/>
  <c r="C94" i="6"/>
  <c r="O94" i="5"/>
  <c r="C94" i="12"/>
  <c r="O94" i="12"/>
  <c r="M94" i="12"/>
  <c r="AO94" i="12"/>
  <c r="L98" i="12"/>
  <c r="J98" i="12"/>
  <c r="F98" i="6"/>
  <c r="E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C95" i="5"/>
  <c r="AA94" i="5"/>
  <c r="AB94" i="5"/>
  <c r="K97" i="12"/>
  <c r="H97" i="6"/>
  <c r="T97" i="5" s="1"/>
  <c r="G97" i="6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AF100" i="5"/>
  <c r="W93" i="12" l="1"/>
  <c r="T93" i="12" s="1"/>
  <c r="Y94" i="12"/>
  <c r="W94" i="12" s="1"/>
  <c r="AC97" i="6"/>
  <c r="BC97" i="6"/>
  <c r="AB97" i="6"/>
  <c r="S100" i="5"/>
  <c r="F100" i="12" s="1"/>
  <c r="AG100" i="5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AC96" i="5"/>
  <c r="C95" i="12"/>
  <c r="M95" i="12"/>
  <c r="O95" i="12"/>
  <c r="AO95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R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AA95" i="5"/>
  <c r="C95" i="6"/>
  <c r="O95" i="5"/>
  <c r="T92" i="12"/>
  <c r="V92" i="12"/>
  <c r="U92" i="12"/>
  <c r="H98" i="6"/>
  <c r="T98" i="5" s="1"/>
  <c r="G98" i="6"/>
  <c r="N94" i="12"/>
  <c r="D94" i="12"/>
  <c r="E94" i="6"/>
  <c r="F99" i="6"/>
  <c r="E99" i="12"/>
  <c r="D99" i="6"/>
  <c r="A98" i="6"/>
  <c r="M98" i="6" s="1"/>
  <c r="AF101" i="5"/>
  <c r="X94" i="12" l="1"/>
  <c r="V93" i="12"/>
  <c r="U93" i="12"/>
  <c r="AG101" i="5"/>
  <c r="S101" i="5"/>
  <c r="F101" i="12" s="1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E95" i="6"/>
  <c r="D95" i="12"/>
  <c r="AM97" i="5"/>
  <c r="L97" i="5"/>
  <c r="I97" i="12"/>
  <c r="Z97" i="5"/>
  <c r="AC97" i="5"/>
  <c r="L100" i="12"/>
  <c r="J100" i="12"/>
  <c r="AA96" i="5"/>
  <c r="AB96" i="5"/>
  <c r="C96" i="6"/>
  <c r="O96" i="5"/>
  <c r="A99" i="6"/>
  <c r="M99" i="6" s="1"/>
  <c r="AM99" i="6" s="1"/>
  <c r="H99" i="6"/>
  <c r="T99" i="5" s="1"/>
  <c r="G99" i="6"/>
  <c r="AF98" i="6"/>
  <c r="AB98" i="6"/>
  <c r="AI98" i="6"/>
  <c r="AK98" i="6"/>
  <c r="AC98" i="6"/>
  <c r="AE98" i="6"/>
  <c r="E100" i="12"/>
  <c r="F100" i="6"/>
  <c r="E101" i="5"/>
  <c r="AE101" i="5"/>
  <c r="W101" i="5"/>
  <c r="H101" i="12" s="1"/>
  <c r="N101" i="5"/>
  <c r="C102" i="5"/>
  <c r="R101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AF102" i="5"/>
  <c r="W95" i="12" l="1"/>
  <c r="V95" i="12" s="1"/>
  <c r="A100" i="6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AG102" i="5"/>
  <c r="S102" i="5"/>
  <c r="F102" i="12" s="1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E101" i="12"/>
  <c r="F101" i="6"/>
  <c r="D101" i="6"/>
  <c r="G99" i="12"/>
  <c r="X99" i="5"/>
  <c r="D96" i="12"/>
  <c r="E96" i="6"/>
  <c r="K100" i="12"/>
  <c r="C97" i="12"/>
  <c r="AO97" i="12"/>
  <c r="M97" i="12"/>
  <c r="O97" i="12"/>
  <c r="G100" i="6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R102" i="5"/>
  <c r="B102" i="5"/>
  <c r="AD102" i="5"/>
  <c r="G102" i="5"/>
  <c r="F102" i="5"/>
  <c r="AH99" i="6"/>
  <c r="AF99" i="6"/>
  <c r="AJ99" i="6"/>
  <c r="AE99" i="6"/>
  <c r="AB99" i="6"/>
  <c r="AA97" i="5"/>
  <c r="AB97" i="5"/>
  <c r="C97" i="6"/>
  <c r="O97" i="5"/>
  <c r="L98" i="5"/>
  <c r="I98" i="12"/>
  <c r="AM98" i="5"/>
  <c r="Z98" i="5"/>
  <c r="AC98" i="5"/>
  <c r="AF103" i="5"/>
  <c r="T95" i="12" l="1"/>
  <c r="A101" i="6"/>
  <c r="M101" i="6" s="1"/>
  <c r="BC101" i="6" s="1"/>
  <c r="U95" i="12"/>
  <c r="N97" i="12"/>
  <c r="S103" i="5"/>
  <c r="F103" i="12" s="1"/>
  <c r="AG103" i="5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AA98" i="5"/>
  <c r="C98" i="12"/>
  <c r="AO98" i="12"/>
  <c r="O98" i="12"/>
  <c r="M98" i="12"/>
  <c r="E97" i="6"/>
  <c r="D97" i="12"/>
  <c r="E102" i="12"/>
  <c r="F102" i="6"/>
  <c r="D102" i="6"/>
  <c r="L102" i="12"/>
  <c r="J102" i="12"/>
  <c r="G100" i="12"/>
  <c r="X100" i="5"/>
  <c r="Y97" i="12"/>
  <c r="C98" i="6"/>
  <c r="O98" i="5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R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AC99" i="5"/>
  <c r="G101" i="6"/>
  <c r="H101" i="6"/>
  <c r="T101" i="5" s="1"/>
  <c r="W96" i="12"/>
  <c r="X96" i="12"/>
  <c r="AF104" i="5"/>
  <c r="BG101" i="6" l="1"/>
  <c r="BE101" i="6"/>
  <c r="AZ101" i="6"/>
  <c r="AY101" i="6"/>
  <c r="AR101" i="6"/>
  <c r="AM101" i="6"/>
  <c r="S104" i="5"/>
  <c r="F104" i="12" s="1"/>
  <c r="AG104" i="5"/>
  <c r="AF101" i="6"/>
  <c r="AX101" i="6"/>
  <c r="AS101" i="6"/>
  <c r="AO101" i="6"/>
  <c r="Y98" i="12"/>
  <c r="W98" i="12" s="1"/>
  <c r="AE101" i="6"/>
  <c r="AB101" i="6"/>
  <c r="AI101" i="6"/>
  <c r="AH101" i="6"/>
  <c r="AU101" i="6"/>
  <c r="BD101" i="6"/>
  <c r="AG101" i="6"/>
  <c r="AT101" i="6"/>
  <c r="AP101" i="6"/>
  <c r="V96" i="12"/>
  <c r="T96" i="12"/>
  <c r="U96" i="12"/>
  <c r="AB99" i="5"/>
  <c r="AA99" i="5"/>
  <c r="C99" i="12"/>
  <c r="AO99" i="12"/>
  <c r="O99" i="12"/>
  <c r="M99" i="12"/>
  <c r="F103" i="6"/>
  <c r="E103" i="12"/>
  <c r="I100" i="12"/>
  <c r="L100" i="5"/>
  <c r="AM100" i="5"/>
  <c r="Z100" i="5"/>
  <c r="AC100" i="5"/>
  <c r="K102" i="12"/>
  <c r="G102" i="6"/>
  <c r="H102" i="6"/>
  <c r="T102" i="5" s="1"/>
  <c r="AK101" i="6"/>
  <c r="BF101" i="6"/>
  <c r="BB101" i="6"/>
  <c r="G101" i="12"/>
  <c r="X101" i="5"/>
  <c r="AD101" i="6"/>
  <c r="AC101" i="6"/>
  <c r="AJ101" i="6"/>
  <c r="AQ101" i="6"/>
  <c r="BA101" i="6"/>
  <c r="AN101" i="6"/>
  <c r="AV101" i="6"/>
  <c r="C99" i="6"/>
  <c r="O99" i="5"/>
  <c r="R104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E98" i="6"/>
  <c r="D98" i="12"/>
  <c r="X97" i="12"/>
  <c r="W97" i="12"/>
  <c r="A102" i="6"/>
  <c r="M102" i="6" s="1"/>
  <c r="N98" i="12"/>
  <c r="AF105" i="5"/>
  <c r="X98" i="12" l="1"/>
  <c r="AG105" i="5"/>
  <c r="S105" i="5"/>
  <c r="F105" i="12" s="1"/>
  <c r="AS102" i="6"/>
  <c r="BA102" i="6"/>
  <c r="BG102" i="6"/>
  <c r="K103" i="12"/>
  <c r="AK102" i="6"/>
  <c r="N99" i="12"/>
  <c r="U97" i="12"/>
  <c r="T97" i="12"/>
  <c r="V97" i="12"/>
  <c r="H103" i="6"/>
  <c r="T103" i="5" s="1"/>
  <c r="G103" i="6"/>
  <c r="J104" i="12"/>
  <c r="L104" i="12"/>
  <c r="E104" i="12"/>
  <c r="F104" i="6"/>
  <c r="I101" i="12"/>
  <c r="L101" i="5"/>
  <c r="AM101" i="5"/>
  <c r="Z101" i="5"/>
  <c r="AC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O100" i="5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E99" i="6"/>
  <c r="D99" i="12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AA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E100" i="6"/>
  <c r="D100" i="12"/>
  <c r="L102" i="5"/>
  <c r="AM102" i="5"/>
  <c r="I102" i="12"/>
  <c r="Z102" i="5"/>
  <c r="AC102" i="5"/>
  <c r="C101" i="6"/>
  <c r="O101" i="5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G104" i="6"/>
  <c r="H104" i="6"/>
  <c r="T104" i="5" s="1"/>
  <c r="AB101" i="5"/>
  <c r="AA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W100" i="12" l="1"/>
  <c r="U100" i="12" s="1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C103" i="5"/>
  <c r="E101" i="6"/>
  <c r="D101" i="12"/>
  <c r="AB102" i="5"/>
  <c r="AA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O102" i="5"/>
  <c r="AF108" i="5"/>
  <c r="T100" i="12" l="1"/>
  <c r="V100" i="12"/>
  <c r="AG108" i="5"/>
  <c r="S108" i="5"/>
  <c r="F108" i="12" s="1"/>
  <c r="A106" i="6"/>
  <c r="M106" i="6" s="1"/>
  <c r="AU106" i="6" s="1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D102" i="12"/>
  <c r="E102" i="6"/>
  <c r="N102" i="12"/>
  <c r="AE108" i="5"/>
  <c r="D108" i="5"/>
  <c r="B108" i="12" s="1"/>
  <c r="G108" i="5"/>
  <c r="C109" i="5"/>
  <c r="H108" i="5"/>
  <c r="K108" i="5"/>
  <c r="AD108" i="5"/>
  <c r="F108" i="5"/>
  <c r="J108" i="5"/>
  <c r="R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AC104" i="5"/>
  <c r="AF109" i="5"/>
  <c r="N103" i="12" l="1"/>
  <c r="A107" i="6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R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AF110" i="5"/>
  <c r="X103" i="12" l="1"/>
  <c r="Y104" i="12"/>
  <c r="X104" i="12" s="1"/>
  <c r="M107" i="6"/>
  <c r="AT107" i="6" s="1"/>
  <c r="S110" i="5"/>
  <c r="F110" i="12" s="1"/>
  <c r="AG110" i="5"/>
  <c r="K108" i="12"/>
  <c r="N104" i="12"/>
  <c r="C105" i="12"/>
  <c r="O105" i="12"/>
  <c r="M105" i="12"/>
  <c r="AO105" i="12"/>
  <c r="D104" i="12"/>
  <c r="E104" i="6"/>
  <c r="E109" i="12"/>
  <c r="F109" i="6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K110" i="5"/>
  <c r="AE110" i="5"/>
  <c r="B110" i="5"/>
  <c r="W110" i="5"/>
  <c r="H110" i="12" s="1"/>
  <c r="R110" i="5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AF111" i="5"/>
  <c r="W104" i="12" l="1"/>
  <c r="V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S111" i="5"/>
  <c r="F111" i="12" s="1"/>
  <c r="AG111" i="5"/>
  <c r="A109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R111" i="5"/>
  <c r="D111" i="5"/>
  <c r="B111" i="12" s="1"/>
  <c r="C112" i="5"/>
  <c r="F111" i="5"/>
  <c r="AE111" i="5"/>
  <c r="N111" i="5"/>
  <c r="J110" i="12"/>
  <c r="L110" i="12"/>
  <c r="D110" i="6"/>
  <c r="H109" i="6"/>
  <c r="T109" i="5" s="1"/>
  <c r="G109" i="6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AF112" i="5"/>
  <c r="T104" i="12" l="1"/>
  <c r="U104" i="12"/>
  <c r="X105" i="12"/>
  <c r="M109" i="6"/>
  <c r="AV109" i="6" s="1"/>
  <c r="AH108" i="6"/>
  <c r="AI108" i="6"/>
  <c r="AO108" i="6"/>
  <c r="AV108" i="6"/>
  <c r="A110" i="6"/>
  <c r="BB108" i="6"/>
  <c r="AS108" i="6"/>
  <c r="AG112" i="5"/>
  <c r="S112" i="5"/>
  <c r="F112" i="12" s="1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R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AC108" i="5"/>
  <c r="Y106" i="12"/>
  <c r="C107" i="6"/>
  <c r="O107" i="5"/>
  <c r="D111" i="6"/>
  <c r="E111" i="12"/>
  <c r="F111" i="6"/>
  <c r="AF113" i="5"/>
  <c r="AE109" i="6" l="1"/>
  <c r="AB109" i="6"/>
  <c r="BG109" i="6"/>
  <c r="AF109" i="6"/>
  <c r="AM109" i="6"/>
  <c r="AR109" i="6"/>
  <c r="AK109" i="6"/>
  <c r="AP109" i="6"/>
  <c r="BD109" i="6"/>
  <c r="AJ109" i="6"/>
  <c r="AU109" i="6"/>
  <c r="BB109" i="6"/>
  <c r="BF109" i="6"/>
  <c r="AC109" i="6"/>
  <c r="AH109" i="6"/>
  <c r="BA109" i="6"/>
  <c r="AZ109" i="6"/>
  <c r="AI109" i="6"/>
  <c r="AQ109" i="6"/>
  <c r="AT109" i="6"/>
  <c r="AS109" i="6"/>
  <c r="AY109" i="6"/>
  <c r="AX109" i="6"/>
  <c r="M110" i="6"/>
  <c r="AY110" i="6" s="1"/>
  <c r="AN109" i="6"/>
  <c r="AG109" i="6"/>
  <c r="BE109" i="6"/>
  <c r="BC109" i="6"/>
  <c r="AO109" i="6"/>
  <c r="AD109" i="6"/>
  <c r="AG113" i="5"/>
  <c r="S113" i="5"/>
  <c r="F113" i="12" s="1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L112" i="12"/>
  <c r="J112" i="12"/>
  <c r="F112" i="6"/>
  <c r="E112" i="12"/>
  <c r="G110" i="12"/>
  <c r="X110" i="5"/>
  <c r="AA108" i="5"/>
  <c r="AB108" i="5"/>
  <c r="C108" i="6"/>
  <c r="O108" i="5"/>
  <c r="K111" i="12"/>
  <c r="D112" i="6"/>
  <c r="N113" i="5"/>
  <c r="H113" i="5"/>
  <c r="J113" i="5"/>
  <c r="A113" i="12"/>
  <c r="B113" i="5"/>
  <c r="R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AC109" i="5"/>
  <c r="N107" i="12"/>
  <c r="Y107" i="12"/>
  <c r="AF114" i="5"/>
  <c r="AH110" i="6" l="1"/>
  <c r="AK110" i="6"/>
  <c r="BC110" i="6"/>
  <c r="AP110" i="6"/>
  <c r="BF110" i="6"/>
  <c r="BB110" i="6"/>
  <c r="AB110" i="6"/>
  <c r="AT110" i="6"/>
  <c r="AM110" i="6"/>
  <c r="AC110" i="6"/>
  <c r="BD110" i="6"/>
  <c r="BA110" i="6"/>
  <c r="AN110" i="6"/>
  <c r="AF110" i="6"/>
  <c r="AQ110" i="6"/>
  <c r="AJ110" i="6"/>
  <c r="AZ110" i="6"/>
  <c r="AS110" i="6"/>
  <c r="AI110" i="6"/>
  <c r="AV110" i="6"/>
  <c r="AX110" i="6"/>
  <c r="BG110" i="6"/>
  <c r="AG110" i="6"/>
  <c r="AE110" i="6"/>
  <c r="AR110" i="6"/>
  <c r="AD110" i="6"/>
  <c r="AU110" i="6"/>
  <c r="AO110" i="6"/>
  <c r="BE110" i="6"/>
  <c r="S114" i="5"/>
  <c r="F114" i="12" s="1"/>
  <c r="AG114" i="5"/>
  <c r="N108" i="12"/>
  <c r="W107" i="12"/>
  <c r="X107" i="12"/>
  <c r="D113" i="6"/>
  <c r="H112" i="6"/>
  <c r="T112" i="5" s="1"/>
  <c r="G112" i="6"/>
  <c r="E108" i="6"/>
  <c r="D108" i="12"/>
  <c r="AM110" i="5"/>
  <c r="I110" i="12"/>
  <c r="L110" i="5"/>
  <c r="Z110" i="5"/>
  <c r="AC110" i="5"/>
  <c r="K112" i="12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R114" i="5"/>
  <c r="W114" i="5"/>
  <c r="H114" i="12" s="1"/>
  <c r="C115" i="5"/>
  <c r="AD114" i="5"/>
  <c r="G114" i="5"/>
  <c r="D114" i="5"/>
  <c r="B114" i="12" s="1"/>
  <c r="H114" i="5"/>
  <c r="N114" i="5"/>
  <c r="E114" i="5"/>
  <c r="B114" i="5"/>
  <c r="F113" i="6"/>
  <c r="E113" i="12"/>
  <c r="J113" i="12"/>
  <c r="L113" i="12"/>
  <c r="A112" i="6"/>
  <c r="M111" i="6"/>
  <c r="AG111" i="6" s="1"/>
  <c r="AF115" i="5"/>
  <c r="A113" i="6" l="1"/>
  <c r="M113" i="6" s="1"/>
  <c r="AO113" i="6" s="1"/>
  <c r="AG115" i="5"/>
  <c r="S115" i="5"/>
  <c r="F115" i="12" s="1"/>
  <c r="AE111" i="6"/>
  <c r="AH111" i="6"/>
  <c r="AB111" i="6"/>
  <c r="AK111" i="6"/>
  <c r="K113" i="12"/>
  <c r="Y109" i="12"/>
  <c r="X109" i="12" s="1"/>
  <c r="AD115" i="5"/>
  <c r="R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14" i="12"/>
  <c r="F114" i="6"/>
  <c r="E109" i="6"/>
  <c r="D109" i="12"/>
  <c r="L111" i="5"/>
  <c r="AM111" i="5"/>
  <c r="I111" i="12"/>
  <c r="Z111" i="5"/>
  <c r="AC111" i="5"/>
  <c r="C110" i="6"/>
  <c r="O110" i="5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G113" i="6"/>
  <c r="H113" i="6"/>
  <c r="T113" i="5" s="1"/>
  <c r="T107" i="12"/>
  <c r="V107" i="12"/>
  <c r="U107" i="12"/>
  <c r="AF116" i="5"/>
  <c r="AN113" i="6" l="1"/>
  <c r="BA113" i="6"/>
  <c r="AM113" i="6"/>
  <c r="AV113" i="6"/>
  <c r="K114" i="12"/>
  <c r="W109" i="12"/>
  <c r="T109" i="12" s="1"/>
  <c r="S116" i="5"/>
  <c r="F116" i="12" s="1"/>
  <c r="AG116" i="5"/>
  <c r="BF113" i="6"/>
  <c r="AR113" i="6"/>
  <c r="AU113" i="6"/>
  <c r="BD113" i="6"/>
  <c r="AX113" i="6"/>
  <c r="AF113" i="6"/>
  <c r="AT113" i="6"/>
  <c r="AG113" i="6"/>
  <c r="BE113" i="6"/>
  <c r="AQ113" i="6"/>
  <c r="AY113" i="6"/>
  <c r="AZ113" i="6"/>
  <c r="BC113" i="6"/>
  <c r="BB113" i="6"/>
  <c r="Y110" i="12"/>
  <c r="W110" i="12" s="1"/>
  <c r="G113" i="12"/>
  <c r="X113" i="5"/>
  <c r="AK113" i="6"/>
  <c r="AI113" i="6"/>
  <c r="AE113" i="6"/>
  <c r="AB113" i="6"/>
  <c r="I112" i="12"/>
  <c r="AM112" i="5"/>
  <c r="L112" i="5"/>
  <c r="Z112" i="5"/>
  <c r="AC112" i="5"/>
  <c r="T108" i="12"/>
  <c r="V108" i="12"/>
  <c r="U108" i="12"/>
  <c r="AA111" i="5"/>
  <c r="AB111" i="5"/>
  <c r="C111" i="12"/>
  <c r="O111" i="12"/>
  <c r="AO111" i="12"/>
  <c r="M111" i="12"/>
  <c r="C111" i="6"/>
  <c r="O111" i="5"/>
  <c r="D115" i="6"/>
  <c r="W116" i="5"/>
  <c r="H116" i="12" s="1"/>
  <c r="AD116" i="5"/>
  <c r="R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E115" i="12"/>
  <c r="F115" i="6"/>
  <c r="AC113" i="6"/>
  <c r="AP113" i="6"/>
  <c r="BG113" i="6"/>
  <c r="AJ113" i="6"/>
  <c r="AS113" i="6"/>
  <c r="AD113" i="6"/>
  <c r="AH113" i="6"/>
  <c r="N110" i="12"/>
  <c r="G114" i="6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A114" i="6"/>
  <c r="J115" i="12"/>
  <c r="L115" i="12"/>
  <c r="AF117" i="5"/>
  <c r="X110" i="12" l="1"/>
  <c r="V109" i="12"/>
  <c r="U109" i="12"/>
  <c r="S117" i="5"/>
  <c r="F117" i="12" s="1"/>
  <c r="AG117" i="5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R117" i="5"/>
  <c r="AE117" i="5"/>
  <c r="K117" i="5"/>
  <c r="W117" i="5"/>
  <c r="H117" i="12" s="1"/>
  <c r="G117" i="5"/>
  <c r="A117" i="12"/>
  <c r="C118" i="5"/>
  <c r="J117" i="5"/>
  <c r="B117" i="5"/>
  <c r="N117" i="5"/>
  <c r="F116" i="6"/>
  <c r="E116" i="12"/>
  <c r="H115" i="6"/>
  <c r="T115" i="5" s="1"/>
  <c r="G115" i="6"/>
  <c r="AB112" i="5"/>
  <c r="AA112" i="5"/>
  <c r="AM113" i="5"/>
  <c r="L113" i="5"/>
  <c r="I113" i="12"/>
  <c r="Z113" i="5"/>
  <c r="AC113" i="5"/>
  <c r="A115" i="6"/>
  <c r="K115" i="12"/>
  <c r="G114" i="12"/>
  <c r="X114" i="5"/>
  <c r="J116" i="12"/>
  <c r="L116" i="12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F118" i="5"/>
  <c r="X111" i="12" l="1"/>
  <c r="AP114" i="6"/>
  <c r="AK114" i="6"/>
  <c r="AX114" i="6"/>
  <c r="AN114" i="6"/>
  <c r="BE114" i="6"/>
  <c r="AG114" i="6"/>
  <c r="AY114" i="6"/>
  <c r="AG118" i="5"/>
  <c r="S118" i="5"/>
  <c r="F118" i="12" s="1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C114" i="5"/>
  <c r="AB113" i="5"/>
  <c r="AA113" i="5"/>
  <c r="C113" i="6"/>
  <c r="O113" i="5"/>
  <c r="V111" i="12"/>
  <c r="T111" i="12"/>
  <c r="U111" i="12"/>
  <c r="R118" i="5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F117" i="6"/>
  <c r="E117" i="12"/>
  <c r="H116" i="6"/>
  <c r="T116" i="5" s="1"/>
  <c r="G116" i="6"/>
  <c r="AF119" i="5"/>
  <c r="AH115" i="6" l="1"/>
  <c r="A117" i="6"/>
  <c r="AI115" i="6"/>
  <c r="X112" i="12"/>
  <c r="M116" i="6"/>
  <c r="AM116" i="6" s="1"/>
  <c r="AG119" i="5"/>
  <c r="S119" i="5"/>
  <c r="F119" i="12" s="1"/>
  <c r="AB115" i="6"/>
  <c r="AG115" i="6"/>
  <c r="K117" i="12"/>
  <c r="Y113" i="12"/>
  <c r="W113" i="12" s="1"/>
  <c r="G116" i="12"/>
  <c r="X116" i="5"/>
  <c r="D118" i="6"/>
  <c r="E118" i="12"/>
  <c r="F118" i="6"/>
  <c r="D113" i="12"/>
  <c r="E113" i="6"/>
  <c r="H117" i="6"/>
  <c r="T117" i="5" s="1"/>
  <c r="G117" i="6"/>
  <c r="J118" i="12"/>
  <c r="L118" i="12"/>
  <c r="G119" i="5"/>
  <c r="H119" i="5"/>
  <c r="C120" i="5"/>
  <c r="J119" i="5"/>
  <c r="W119" i="5"/>
  <c r="H119" i="12" s="1"/>
  <c r="F119" i="5"/>
  <c r="AD119" i="5"/>
  <c r="R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C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F120" i="5"/>
  <c r="A118" i="6" l="1"/>
  <c r="M118" i="6" s="1"/>
  <c r="BA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S120" i="5"/>
  <c r="F120" i="12" s="1"/>
  <c r="AG120" i="5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R120" i="5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C116" i="5"/>
  <c r="AA115" i="5"/>
  <c r="AB115" i="5"/>
  <c r="C115" i="6"/>
  <c r="O115" i="5"/>
  <c r="D114" i="12"/>
  <c r="E114" i="6"/>
  <c r="N114" i="12"/>
  <c r="Y114" i="12"/>
  <c r="L119" i="12"/>
  <c r="J119" i="12"/>
  <c r="F119" i="6"/>
  <c r="E119" i="12"/>
  <c r="G118" i="6"/>
  <c r="H118" i="6"/>
  <c r="T118" i="5" s="1"/>
  <c r="AF121" i="5"/>
  <c r="A119" i="6" l="1"/>
  <c r="M119" i="6" s="1"/>
  <c r="BB119" i="6" s="1"/>
  <c r="AZ117" i="6"/>
  <c r="AC117" i="6"/>
  <c r="AB117" i="6"/>
  <c r="BD117" i="6"/>
  <c r="AD117" i="6"/>
  <c r="AX117" i="6"/>
  <c r="BG117" i="6"/>
  <c r="AJ117" i="6"/>
  <c r="AO117" i="6"/>
  <c r="AG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AY118" i="6"/>
  <c r="BB118" i="6"/>
  <c r="AS118" i="6"/>
  <c r="BC118" i="6"/>
  <c r="BE118" i="6"/>
  <c r="AZ118" i="6"/>
  <c r="BD118" i="6"/>
  <c r="AR118" i="6"/>
  <c r="AU118" i="6"/>
  <c r="AT118" i="6"/>
  <c r="AO118" i="6"/>
  <c r="AN118" i="6"/>
  <c r="BF118" i="6"/>
  <c r="K119" i="12"/>
  <c r="AC118" i="6"/>
  <c r="AQ118" i="6"/>
  <c r="AV118" i="6"/>
  <c r="G118" i="12"/>
  <c r="X118" i="5"/>
  <c r="AG118" i="6"/>
  <c r="AK118" i="6"/>
  <c r="AI118" i="6"/>
  <c r="AF118" i="6"/>
  <c r="X114" i="12"/>
  <c r="W114" i="12"/>
  <c r="E115" i="6"/>
  <c r="D115" i="12"/>
  <c r="AB116" i="5"/>
  <c r="AA116" i="5"/>
  <c r="I117" i="12"/>
  <c r="AM117" i="5"/>
  <c r="L117" i="5"/>
  <c r="Z117" i="5"/>
  <c r="AC117" i="5"/>
  <c r="J120" i="12"/>
  <c r="L120" i="12"/>
  <c r="D120" i="6"/>
  <c r="N115" i="12"/>
  <c r="AB118" i="6"/>
  <c r="AE118" i="6"/>
  <c r="AM118" i="6"/>
  <c r="BG118" i="6"/>
  <c r="AH118" i="6"/>
  <c r="AJ118" i="6"/>
  <c r="AD118" i="6"/>
  <c r="AX118" i="6"/>
  <c r="AP118" i="6"/>
  <c r="C116" i="6"/>
  <c r="O116" i="5"/>
  <c r="C116" i="12"/>
  <c r="O116" i="12"/>
  <c r="M116" i="12"/>
  <c r="AO116" i="12"/>
  <c r="E120" i="12"/>
  <c r="F120" i="6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G119" i="6"/>
  <c r="H119" i="6"/>
  <c r="T119" i="5" s="1"/>
  <c r="Y115" i="12"/>
  <c r="AF122" i="5"/>
  <c r="A120" i="6" l="1"/>
  <c r="M120" i="6" s="1"/>
  <c r="BE120" i="6" s="1"/>
  <c r="Y116" i="12"/>
  <c r="W116" i="12" s="1"/>
  <c r="AO119" i="6"/>
  <c r="AE119" i="6"/>
  <c r="AR119" i="6"/>
  <c r="AG122" i="5"/>
  <c r="S122" i="5"/>
  <c r="F122" i="12" s="1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E116" i="6"/>
  <c r="D116" i="12"/>
  <c r="AA117" i="5"/>
  <c r="AB117" i="5"/>
  <c r="T114" i="12"/>
  <c r="U114" i="12"/>
  <c r="V114" i="12"/>
  <c r="AM118" i="5"/>
  <c r="I118" i="12"/>
  <c r="L118" i="5"/>
  <c r="Z118" i="5"/>
  <c r="AC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H120" i="6"/>
  <c r="T120" i="5" s="1"/>
  <c r="G120" i="6"/>
  <c r="C117" i="6"/>
  <c r="O117" i="5"/>
  <c r="C117" i="12"/>
  <c r="AO117" i="12"/>
  <c r="M117" i="12"/>
  <c r="O117" i="12"/>
  <c r="AF123" i="5"/>
  <c r="A121" i="6" l="1"/>
  <c r="M121" i="6" s="1"/>
  <c r="AP121" i="6" s="1"/>
  <c r="X116" i="12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E117" i="6"/>
  <c r="D117" i="12"/>
  <c r="AC120" i="6"/>
  <c r="AO120" i="6"/>
  <c r="AY120" i="6"/>
  <c r="AP120" i="6"/>
  <c r="AM120" i="6"/>
  <c r="BB120" i="6"/>
  <c r="AE120" i="6"/>
  <c r="AI120" i="6"/>
  <c r="G121" i="6"/>
  <c r="H121" i="6"/>
  <c r="T121" i="5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AA118" i="5"/>
  <c r="C118" i="6"/>
  <c r="O118" i="5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AC119" i="5"/>
  <c r="U115" i="12"/>
  <c r="V115" i="12"/>
  <c r="T115" i="12"/>
  <c r="C118" i="12"/>
  <c r="O118" i="12"/>
  <c r="M118" i="12"/>
  <c r="AO118" i="12"/>
  <c r="U116" i="12"/>
  <c r="T116" i="12"/>
  <c r="V116" i="12"/>
  <c r="AF124" i="5"/>
  <c r="Y118" i="12" l="1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A119" i="5"/>
  <c r="AB119" i="5"/>
  <c r="C119" i="6"/>
  <c r="O119" i="5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C120" i="5"/>
  <c r="E118" i="6"/>
  <c r="D118" i="12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X118" i="12" l="1"/>
  <c r="Y119" i="12"/>
  <c r="X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R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F124" i="6"/>
  <c r="E124" i="12"/>
  <c r="D119" i="12"/>
  <c r="E119" i="6"/>
  <c r="T118" i="12"/>
  <c r="V118" i="12"/>
  <c r="U118" i="12"/>
  <c r="V117" i="12"/>
  <c r="U117" i="12"/>
  <c r="T117" i="12"/>
  <c r="K123" i="12"/>
  <c r="AB120" i="5"/>
  <c r="AA120" i="5"/>
  <c r="C120" i="12"/>
  <c r="AO120" i="12"/>
  <c r="O120" i="12"/>
  <c r="M120" i="12"/>
  <c r="C120" i="6"/>
  <c r="O120" i="5"/>
  <c r="L124" i="12"/>
  <c r="J124" i="12"/>
  <c r="H123" i="6"/>
  <c r="T123" i="5" s="1"/>
  <c r="G123" i="6"/>
  <c r="G122" i="12"/>
  <c r="X122" i="5"/>
  <c r="AF126" i="5"/>
  <c r="W119" i="12" l="1"/>
  <c r="T119" i="12" s="1"/>
  <c r="AR122" i="6"/>
  <c r="A124" i="6"/>
  <c r="M124" i="6" s="1"/>
  <c r="BF124" i="6" s="1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A121" i="5"/>
  <c r="AB121" i="5"/>
  <c r="C121" i="12"/>
  <c r="O121" i="12"/>
  <c r="M121" i="12"/>
  <c r="AO121" i="12"/>
  <c r="AG123" i="6"/>
  <c r="AJ123" i="6"/>
  <c r="AK123" i="6"/>
  <c r="AB123" i="6"/>
  <c r="AC123" i="6"/>
  <c r="AE123" i="6"/>
  <c r="K124" i="12"/>
  <c r="N120" i="12"/>
  <c r="L125" i="12"/>
  <c r="J125" i="12"/>
  <c r="E125" i="12"/>
  <c r="F125" i="6"/>
  <c r="G124" i="6"/>
  <c r="H124" i="6"/>
  <c r="T124" i="5" s="1"/>
  <c r="C121" i="6"/>
  <c r="O121" i="5"/>
  <c r="AF127" i="5"/>
  <c r="U119" i="12" l="1"/>
  <c r="V119" i="12"/>
  <c r="Y121" i="12"/>
  <c r="W121" i="12" s="1"/>
  <c r="X120" i="12"/>
  <c r="BB124" i="6"/>
  <c r="AS124" i="6"/>
  <c r="AN124" i="6"/>
  <c r="AC124" i="6"/>
  <c r="BD124" i="6"/>
  <c r="AU124" i="6"/>
  <c r="S127" i="5"/>
  <c r="F127" i="12" s="1"/>
  <c r="AG127" i="5"/>
  <c r="AR124" i="6"/>
  <c r="AP124" i="6"/>
  <c r="BG124" i="6"/>
  <c r="AO124" i="6"/>
  <c r="BC124" i="6"/>
  <c r="BA124" i="6"/>
  <c r="AX124" i="6"/>
  <c r="AQ124" i="6"/>
  <c r="AI124" i="6"/>
  <c r="AY124" i="6"/>
  <c r="BE124" i="6"/>
  <c r="N121" i="12"/>
  <c r="G124" i="12"/>
  <c r="X124" i="5"/>
  <c r="AB124" i="6"/>
  <c r="AE124" i="6"/>
  <c r="K125" i="12"/>
  <c r="G125" i="6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R127" i="5"/>
  <c r="B127" i="6"/>
  <c r="J127" i="5"/>
  <c r="A127" i="12"/>
  <c r="L123" i="5"/>
  <c r="AM123" i="5"/>
  <c r="I123" i="12"/>
  <c r="Z123" i="5"/>
  <c r="AC123" i="5"/>
  <c r="C122" i="6"/>
  <c r="O122" i="5"/>
  <c r="D121" i="12"/>
  <c r="E121" i="6"/>
  <c r="AF124" i="6"/>
  <c r="AD124" i="6"/>
  <c r="AJ124" i="6"/>
  <c r="AH124" i="6"/>
  <c r="AM124" i="6"/>
  <c r="AV124" i="6"/>
  <c r="AZ124" i="6"/>
  <c r="AT124" i="6"/>
  <c r="AK124" i="6"/>
  <c r="AG124" i="6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X121" i="12" l="1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T121" i="12"/>
  <c r="V121" i="12"/>
  <c r="U121" i="12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R128" i="5"/>
  <c r="H128" i="5"/>
  <c r="AE128" i="5"/>
  <c r="F128" i="5"/>
  <c r="G125" i="12"/>
  <c r="X125" i="5"/>
  <c r="AJ125" i="6"/>
  <c r="AK125" i="6"/>
  <c r="AF129" i="5"/>
  <c r="X122" i="12" l="1"/>
  <c r="K127" i="12"/>
  <c r="S129" i="5"/>
  <c r="F129" i="12" s="1"/>
  <c r="AG129" i="5"/>
  <c r="A127" i="6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AC125" i="5"/>
  <c r="E128" i="12"/>
  <c r="F128" i="6"/>
  <c r="AD129" i="5"/>
  <c r="B129" i="5"/>
  <c r="R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H127" i="6"/>
  <c r="T127" i="5" s="1"/>
  <c r="AH126" i="6"/>
  <c r="AJ126" i="6"/>
  <c r="AC126" i="6"/>
  <c r="AD126" i="6"/>
  <c r="T122" i="12"/>
  <c r="V122" i="12"/>
  <c r="U122" i="12"/>
  <c r="AF130" i="5"/>
  <c r="M127" i="6" l="1"/>
  <c r="BA127" i="6" s="1"/>
  <c r="A128" i="6"/>
  <c r="M128" i="6" s="1"/>
  <c r="AG130" i="5"/>
  <c r="S130" i="5"/>
  <c r="F130" i="12" s="1"/>
  <c r="Y124" i="12"/>
  <c r="W124" i="12" s="1"/>
  <c r="D124" i="12"/>
  <c r="E124" i="6"/>
  <c r="X123" i="12"/>
  <c r="W123" i="12"/>
  <c r="D129" i="6"/>
  <c r="E129" i="12"/>
  <c r="F129" i="6"/>
  <c r="C125" i="12"/>
  <c r="M125" i="12"/>
  <c r="AO125" i="12"/>
  <c r="O125" i="12"/>
  <c r="K128" i="12"/>
  <c r="G127" i="12"/>
  <c r="X127" i="5"/>
  <c r="AE130" i="5"/>
  <c r="G130" i="5"/>
  <c r="K130" i="5"/>
  <c r="B130" i="6"/>
  <c r="N130" i="5"/>
  <c r="J130" i="5"/>
  <c r="C131" i="5"/>
  <c r="W130" i="5"/>
  <c r="H130" i="12" s="1"/>
  <c r="H130" i="5"/>
  <c r="B130" i="5"/>
  <c r="R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AC126" i="5"/>
  <c r="N124" i="12"/>
  <c r="G128" i="6"/>
  <c r="H128" i="6"/>
  <c r="T128" i="5" s="1"/>
  <c r="AF131" i="5"/>
  <c r="AP127" i="6" l="1"/>
  <c r="AR127" i="6"/>
  <c r="AY127" i="6"/>
  <c r="AE127" i="6"/>
  <c r="AS127" i="6"/>
  <c r="AM127" i="6"/>
  <c r="BG127" i="6"/>
  <c r="AC127" i="6"/>
  <c r="AN127" i="6"/>
  <c r="AK127" i="6"/>
  <c r="AU127" i="6"/>
  <c r="AX127" i="6"/>
  <c r="BD127" i="6"/>
  <c r="AF127" i="6"/>
  <c r="AG127" i="6"/>
  <c r="BF127" i="6"/>
  <c r="AV127" i="6"/>
  <c r="AB127" i="6"/>
  <c r="AO127" i="6"/>
  <c r="BC127" i="6"/>
  <c r="N125" i="12"/>
  <c r="BB127" i="6"/>
  <c r="AI127" i="6"/>
  <c r="AQ127" i="6"/>
  <c r="AD127" i="6"/>
  <c r="AJ127" i="6"/>
  <c r="AT127" i="6"/>
  <c r="AH127" i="6"/>
  <c r="BE127" i="6"/>
  <c r="AZ127" i="6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G131" i="5"/>
  <c r="S131" i="5"/>
  <c r="F131" i="12" s="1"/>
  <c r="AJ128" i="6"/>
  <c r="G128" i="12"/>
  <c r="X128" i="5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F130" i="6"/>
  <c r="E130" i="12"/>
  <c r="N131" i="5"/>
  <c r="C132" i="5"/>
  <c r="AE131" i="5"/>
  <c r="W131" i="5"/>
  <c r="H131" i="12" s="1"/>
  <c r="H131" i="5"/>
  <c r="E131" i="5"/>
  <c r="R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AC127" i="5"/>
  <c r="U123" i="12"/>
  <c r="V123" i="12"/>
  <c r="T123" i="12"/>
  <c r="AF132" i="5"/>
  <c r="W125" i="12" l="1"/>
  <c r="V125" i="12" s="1"/>
  <c r="N126" i="12"/>
  <c r="AG132" i="5"/>
  <c r="S132" i="5"/>
  <c r="F132" i="12" s="1"/>
  <c r="M129" i="6"/>
  <c r="AJ129" i="6" s="1"/>
  <c r="C127" i="6"/>
  <c r="O127" i="5"/>
  <c r="H130" i="6"/>
  <c r="T130" i="5" s="1"/>
  <c r="G130" i="6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J132" i="5"/>
  <c r="K130" i="12"/>
  <c r="G129" i="12"/>
  <c r="X129" i="5"/>
  <c r="A130" i="6"/>
  <c r="I128" i="12"/>
  <c r="AM128" i="5"/>
  <c r="L128" i="5"/>
  <c r="Z128" i="5"/>
  <c r="AC128" i="5"/>
  <c r="AA127" i="5"/>
  <c r="AB127" i="5"/>
  <c r="C127" i="12"/>
  <c r="O127" i="12"/>
  <c r="AO127" i="12"/>
  <c r="M127" i="12"/>
  <c r="E131" i="12"/>
  <c r="F131" i="6"/>
  <c r="D131" i="6"/>
  <c r="Y126" i="12"/>
  <c r="E126" i="6"/>
  <c r="D126" i="12"/>
  <c r="AF133" i="5"/>
  <c r="U125" i="12" l="1"/>
  <c r="T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G133" i="5"/>
  <c r="S133" i="5"/>
  <c r="F133" i="12" s="1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F132" i="6"/>
  <c r="E132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R133" i="5"/>
  <c r="A133" i="12"/>
  <c r="W133" i="5"/>
  <c r="H133" i="12" s="1"/>
  <c r="H133" i="5"/>
  <c r="C134" i="5"/>
  <c r="D127" i="12"/>
  <c r="E127" i="6"/>
  <c r="G131" i="6"/>
  <c r="H131" i="6"/>
  <c r="T131" i="5" s="1"/>
  <c r="N127" i="12"/>
  <c r="L129" i="5"/>
  <c r="AM129" i="5"/>
  <c r="I129" i="12"/>
  <c r="Z129" i="5"/>
  <c r="AC129" i="5"/>
  <c r="K131" i="12"/>
  <c r="M130" i="6"/>
  <c r="G130" i="12"/>
  <c r="X130" i="5"/>
  <c r="AF134" i="5"/>
  <c r="W127" i="12" l="1"/>
  <c r="V127" i="12" s="1"/>
  <c r="AP131" i="6"/>
  <c r="BD131" i="6"/>
  <c r="A132" i="6"/>
  <c r="M132" i="6" s="1"/>
  <c r="BC132" i="6" s="1"/>
  <c r="BB131" i="6"/>
  <c r="AZ131" i="6"/>
  <c r="AO131" i="6"/>
  <c r="AT131" i="6"/>
  <c r="AM131" i="6"/>
  <c r="S134" i="5"/>
  <c r="F134" i="12" s="1"/>
  <c r="AG134" i="5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F133" i="6"/>
  <c r="E133" i="12"/>
  <c r="X128" i="12"/>
  <c r="E128" i="6"/>
  <c r="D128" i="12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R134" i="5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G132" i="6"/>
  <c r="K132" i="12"/>
  <c r="N128" i="12"/>
  <c r="AF135" i="5"/>
  <c r="T127" i="12" l="1"/>
  <c r="U127" i="12"/>
  <c r="A133" i="6"/>
  <c r="M133" i="6" s="1"/>
  <c r="S135" i="5"/>
  <c r="F135" i="12" s="1"/>
  <c r="AG135" i="5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G133" i="6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R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AC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F134" i="6"/>
  <c r="E134" i="12"/>
  <c r="E129" i="6"/>
  <c r="D129" i="12"/>
  <c r="Y129" i="12"/>
  <c r="AF136" i="5"/>
  <c r="A134" i="6" l="1"/>
  <c r="M134" i="6" s="1"/>
  <c r="AV134" i="6" s="1"/>
  <c r="N130" i="12"/>
  <c r="AC133" i="6"/>
  <c r="K134" i="12"/>
  <c r="BD133" i="6"/>
  <c r="S136" i="5"/>
  <c r="F136" i="12" s="1"/>
  <c r="AG136" i="5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2" i="5"/>
  <c r="AM132" i="5"/>
  <c r="I132" i="12"/>
  <c r="Z132" i="5"/>
  <c r="AC132" i="5"/>
  <c r="AB131" i="5"/>
  <c r="AA131" i="5"/>
  <c r="C131" i="6"/>
  <c r="O131" i="5"/>
  <c r="L135" i="12"/>
  <c r="J135" i="12"/>
  <c r="F135" i="6"/>
  <c r="E135" i="12"/>
  <c r="H134" i="6"/>
  <c r="T134" i="5" s="1"/>
  <c r="G134" i="6"/>
  <c r="C131" i="12"/>
  <c r="AO131" i="12"/>
  <c r="O131" i="12"/>
  <c r="M131" i="12"/>
  <c r="E130" i="6"/>
  <c r="D130" i="12"/>
  <c r="B136" i="5"/>
  <c r="K136" i="5"/>
  <c r="W136" i="5"/>
  <c r="H136" i="12" s="1"/>
  <c r="D136" i="5"/>
  <c r="B136" i="12" s="1"/>
  <c r="J136" i="5"/>
  <c r="H136" i="5"/>
  <c r="R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AF137" i="5"/>
  <c r="X130" i="12" l="1"/>
  <c r="S137" i="5"/>
  <c r="F137" i="12" s="1"/>
  <c r="AG137" i="5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G135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R137" i="5"/>
  <c r="N137" i="5"/>
  <c r="AD137" i="5"/>
  <c r="E137" i="5"/>
  <c r="C138" i="5"/>
  <c r="AE137" i="5"/>
  <c r="F137" i="5"/>
  <c r="K137" i="5"/>
  <c r="A135" i="6"/>
  <c r="D131" i="12"/>
  <c r="E131" i="6"/>
  <c r="I133" i="12"/>
  <c r="AM133" i="5"/>
  <c r="L133" i="5"/>
  <c r="Z133" i="5"/>
  <c r="AC133" i="5"/>
  <c r="D136" i="6"/>
  <c r="J136" i="12"/>
  <c r="L136" i="12"/>
  <c r="E136" i="12"/>
  <c r="F136" i="6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AF138" i="5"/>
  <c r="W131" i="12" l="1"/>
  <c r="V131" i="12" s="1"/>
  <c r="N132" i="12"/>
  <c r="A136" i="6"/>
  <c r="AG138" i="5"/>
  <c r="S138" i="5"/>
  <c r="F138" i="12" s="1"/>
  <c r="Y132" i="12"/>
  <c r="W132" i="12" s="1"/>
  <c r="K136" i="12"/>
  <c r="G136" i="6"/>
  <c r="H136" i="6"/>
  <c r="T136" i="5" s="1"/>
  <c r="AA133" i="5"/>
  <c r="AB133" i="5"/>
  <c r="C133" i="6"/>
  <c r="O133" i="5"/>
  <c r="C133" i="12"/>
  <c r="AO133" i="12"/>
  <c r="O133" i="12"/>
  <c r="M133" i="12"/>
  <c r="R138" i="5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E132" i="6"/>
  <c r="D132" i="12"/>
  <c r="AM134" i="5"/>
  <c r="L134" i="5"/>
  <c r="I134" i="12"/>
  <c r="Z134" i="5"/>
  <c r="AC134" i="5"/>
  <c r="D137" i="6"/>
  <c r="E137" i="12"/>
  <c r="F137" i="6"/>
  <c r="L137" i="12"/>
  <c r="J137" i="12"/>
  <c r="M135" i="6"/>
  <c r="AB135" i="6" s="1"/>
  <c r="G135" i="12"/>
  <c r="X135" i="5"/>
  <c r="AF139" i="5"/>
  <c r="T131" i="12" l="1"/>
  <c r="U131" i="12"/>
  <c r="X132" i="12"/>
  <c r="M136" i="6"/>
  <c r="AU136" i="6" s="1"/>
  <c r="AG139" i="5"/>
  <c r="S139" i="5"/>
  <c r="F139" i="12" s="1"/>
  <c r="Y133" i="12"/>
  <c r="X133" i="12" s="1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K137" i="12"/>
  <c r="H137" i="6"/>
  <c r="T137" i="5" s="1"/>
  <c r="G137" i="6"/>
  <c r="C134" i="6"/>
  <c r="O134" i="5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F138" i="6"/>
  <c r="E138" i="12"/>
  <c r="N133" i="12"/>
  <c r="AF140" i="5"/>
  <c r="AT136" i="6" l="1"/>
  <c r="BC136" i="6"/>
  <c r="AM136" i="6"/>
  <c r="AG136" i="6"/>
  <c r="AN136" i="6"/>
  <c r="AF136" i="6"/>
  <c r="AD136" i="6"/>
  <c r="AE136" i="6"/>
  <c r="BD136" i="6"/>
  <c r="AS136" i="6"/>
  <c r="AJ136" i="6"/>
  <c r="AB136" i="6"/>
  <c r="AK136" i="6"/>
  <c r="AC136" i="6"/>
  <c r="AI136" i="6"/>
  <c r="BA136" i="6"/>
  <c r="BF136" i="6"/>
  <c r="AH136" i="6"/>
  <c r="AP136" i="6"/>
  <c r="AV136" i="6"/>
  <c r="AO136" i="6"/>
  <c r="AY136" i="6"/>
  <c r="AZ136" i="6"/>
  <c r="BE136" i="6"/>
  <c r="AQ136" i="6"/>
  <c r="AX136" i="6"/>
  <c r="BG136" i="6"/>
  <c r="BB136" i="6"/>
  <c r="AR136" i="6"/>
  <c r="W133" i="12"/>
  <c r="V133" i="12" s="1"/>
  <c r="S140" i="5"/>
  <c r="F140" i="12" s="1"/>
  <c r="AG140" i="5"/>
  <c r="A138" i="6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G138" i="6"/>
  <c r="H138" i="6"/>
  <c r="T138" i="5" s="1"/>
  <c r="D134" i="12"/>
  <c r="E134" i="6"/>
  <c r="G137" i="12"/>
  <c r="X137" i="5"/>
  <c r="AM136" i="5"/>
  <c r="I136" i="12"/>
  <c r="L136" i="5"/>
  <c r="Z136" i="5"/>
  <c r="AC136" i="5"/>
  <c r="Y134" i="12"/>
  <c r="AB135" i="5"/>
  <c r="AA135" i="5"/>
  <c r="C135" i="6"/>
  <c r="O135" i="5"/>
  <c r="AF141" i="5"/>
  <c r="T133" i="12" l="1"/>
  <c r="Y135" i="12"/>
  <c r="X135" i="12" s="1"/>
  <c r="U133" i="12"/>
  <c r="M138" i="6"/>
  <c r="AP138" i="6" s="1"/>
  <c r="K139" i="12"/>
  <c r="AG141" i="5"/>
  <c r="S141" i="5"/>
  <c r="F141" i="12" s="1"/>
  <c r="A139" i="6"/>
  <c r="D135" i="12"/>
  <c r="E135" i="6"/>
  <c r="X134" i="12"/>
  <c r="W134" i="12"/>
  <c r="C136" i="6"/>
  <c r="O136" i="5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B136" i="5"/>
  <c r="AA136" i="5"/>
  <c r="C136" i="12"/>
  <c r="O136" i="12"/>
  <c r="M136" i="12"/>
  <c r="AO136" i="12"/>
  <c r="AM137" i="5"/>
  <c r="I137" i="12"/>
  <c r="L137" i="5"/>
  <c r="Z137" i="5"/>
  <c r="AC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Y136" i="12" l="1"/>
  <c r="X136" i="12" s="1"/>
  <c r="AY138" i="6"/>
  <c r="BC138" i="6"/>
  <c r="W135" i="12"/>
  <c r="U135" i="12" s="1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S142" i="5"/>
  <c r="F142" i="12" s="1"/>
  <c r="AG142" i="5"/>
  <c r="G139" i="12"/>
  <c r="X139" i="5"/>
  <c r="L138" i="5"/>
  <c r="I138" i="12"/>
  <c r="AM138" i="5"/>
  <c r="Z138" i="5"/>
  <c r="AC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D136" i="12"/>
  <c r="E136" i="6"/>
  <c r="U134" i="12"/>
  <c r="V134" i="12"/>
  <c r="T134" i="12"/>
  <c r="H140" i="6"/>
  <c r="T140" i="5" s="1"/>
  <c r="G140" i="6"/>
  <c r="AB137" i="5"/>
  <c r="AA137" i="5"/>
  <c r="C137" i="6"/>
  <c r="O137" i="5"/>
  <c r="A140" i="6"/>
  <c r="D141" i="6"/>
  <c r="E141" i="12"/>
  <c r="F141" i="6"/>
  <c r="AF143" i="5"/>
  <c r="W136" i="12" l="1"/>
  <c r="T136" i="12" s="1"/>
  <c r="T135" i="12"/>
  <c r="V135" i="12"/>
  <c r="BC139" i="6"/>
  <c r="AS139" i="6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AG143" i="5"/>
  <c r="S143" i="5"/>
  <c r="F143" i="12" s="1"/>
  <c r="K141" i="12"/>
  <c r="Y137" i="12"/>
  <c r="W137" i="12" s="1"/>
  <c r="G141" i="6"/>
  <c r="H141" i="6"/>
  <c r="T141" i="5" s="1"/>
  <c r="E137" i="6"/>
  <c r="D137" i="12"/>
  <c r="G140" i="12"/>
  <c r="X140" i="5"/>
  <c r="L142" i="12"/>
  <c r="J142" i="12"/>
  <c r="AA138" i="5"/>
  <c r="AB138" i="5"/>
  <c r="C138" i="6"/>
  <c r="O138" i="5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N137" i="12"/>
  <c r="C138" i="12"/>
  <c r="M138" i="12"/>
  <c r="O138" i="12"/>
  <c r="AO138" i="12"/>
  <c r="AF144" i="5"/>
  <c r="V136" i="12" l="1"/>
  <c r="U136" i="12"/>
  <c r="X137" i="12"/>
  <c r="M141" i="6"/>
  <c r="AU141" i="6" s="1"/>
  <c r="A142" i="6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AC140" i="5"/>
  <c r="Y138" i="12"/>
  <c r="H142" i="6"/>
  <c r="T142" i="5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AE141" i="6" l="1"/>
  <c r="AV141" i="6"/>
  <c r="AP141" i="6"/>
  <c r="AC141" i="6"/>
  <c r="AO141" i="6"/>
  <c r="AR141" i="6"/>
  <c r="AJ141" i="6"/>
  <c r="AG141" i="6"/>
  <c r="AT141" i="6"/>
  <c r="AY141" i="6"/>
  <c r="AI141" i="6"/>
  <c r="AD141" i="6"/>
  <c r="BC141" i="6"/>
  <c r="M142" i="6"/>
  <c r="AQ142" i="6" s="1"/>
  <c r="AZ141" i="6"/>
  <c r="AS141" i="6"/>
  <c r="BF141" i="6"/>
  <c r="BE141" i="6"/>
  <c r="AX141" i="6"/>
  <c r="AH141" i="6"/>
  <c r="BA141" i="6"/>
  <c r="AM141" i="6"/>
  <c r="BG141" i="6"/>
  <c r="AF141" i="6"/>
  <c r="BB141" i="6"/>
  <c r="BD141" i="6"/>
  <c r="A143" i="6"/>
  <c r="M143" i="6" s="1"/>
  <c r="BD143" i="6" s="1"/>
  <c r="AB141" i="6"/>
  <c r="AQ141" i="6"/>
  <c r="AK141" i="6"/>
  <c r="AN141" i="6"/>
  <c r="AG145" i="5"/>
  <c r="S145" i="5"/>
  <c r="F145" i="12" s="1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AI142" i="6" l="1"/>
  <c r="AH142" i="6"/>
  <c r="AF142" i="6"/>
  <c r="AC142" i="6"/>
  <c r="AB142" i="6"/>
  <c r="AP142" i="6"/>
  <c r="AU142" i="6"/>
  <c r="AD142" i="6"/>
  <c r="BD142" i="6"/>
  <c r="AX142" i="6"/>
  <c r="AJ142" i="6"/>
  <c r="AV142" i="6"/>
  <c r="AN142" i="6"/>
  <c r="BE142" i="6"/>
  <c r="AG142" i="6"/>
  <c r="AO142" i="6"/>
  <c r="AT142" i="6"/>
  <c r="AE142" i="6"/>
  <c r="AS142" i="6"/>
  <c r="BF142" i="6"/>
  <c r="AK142" i="6"/>
  <c r="AM142" i="6"/>
  <c r="BB142" i="6"/>
  <c r="BC142" i="6"/>
  <c r="AY142" i="6"/>
  <c r="AZ142" i="6"/>
  <c r="BA142" i="6"/>
  <c r="BG142" i="6"/>
  <c r="AR142" i="6"/>
  <c r="A144" i="6"/>
  <c r="M144" i="6" s="1"/>
  <c r="AZ144" i="6" s="1"/>
  <c r="Y140" i="12"/>
  <c r="W140" i="12" s="1"/>
  <c r="AP143" i="6"/>
  <c r="AG146" i="5"/>
  <c r="S146" i="5"/>
  <c r="F146" i="12" s="1"/>
  <c r="AN143" i="6"/>
  <c r="AY143" i="6"/>
  <c r="AT143" i="6"/>
  <c r="AF143" i="6"/>
  <c r="AV143" i="6"/>
  <c r="AX143" i="6"/>
  <c r="AM143" i="6"/>
  <c r="BG143" i="6"/>
  <c r="AZ143" i="6"/>
  <c r="AB143" i="6"/>
  <c r="AE143" i="6"/>
  <c r="AK143" i="6"/>
  <c r="AC143" i="6"/>
  <c r="AU143" i="6"/>
  <c r="AH143" i="6"/>
  <c r="AO143" i="6"/>
  <c r="BE143" i="6"/>
  <c r="AR143" i="6"/>
  <c r="AD143" i="6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BC143" i="6"/>
  <c r="AG143" i="6"/>
  <c r="BA143" i="6"/>
  <c r="G143" i="12"/>
  <c r="X143" i="5"/>
  <c r="AQ143" i="6"/>
  <c r="BF143" i="6"/>
  <c r="AS143" i="6"/>
  <c r="AI143" i="6"/>
  <c r="BB143" i="6"/>
  <c r="AJ143" i="6"/>
  <c r="AM142" i="5"/>
  <c r="L142" i="5"/>
  <c r="I142" i="12"/>
  <c r="Z142" i="5"/>
  <c r="AC142" i="5"/>
  <c r="AF147" i="5"/>
  <c r="X140" i="12" l="1"/>
  <c r="AS144" i="6"/>
  <c r="AF144" i="6"/>
  <c r="AG147" i="5"/>
  <c r="S147" i="5"/>
  <c r="F147" i="12" s="1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V140" i="12"/>
  <c r="T140" i="12"/>
  <c r="U140" i="12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F148" i="5"/>
  <c r="S148" i="5" l="1"/>
  <c r="F148" i="12" s="1"/>
  <c r="AG148" i="5"/>
  <c r="A146" i="6"/>
  <c r="M146" i="6" s="1"/>
  <c r="AZ146" i="6" s="1"/>
  <c r="N142" i="12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AF145" i="6" l="1"/>
  <c r="N143" i="12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T144" i="12" l="1"/>
  <c r="U144" i="12"/>
  <c r="BA148" i="6"/>
  <c r="AN148" i="6"/>
  <c r="AB148" i="6"/>
  <c r="AG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AV150" i="6" l="1"/>
  <c r="AJ150" i="6"/>
  <c r="AX150" i="6"/>
  <c r="AP150" i="6"/>
  <c r="AS150" i="6"/>
  <c r="AC150" i="6"/>
  <c r="AK150" i="6"/>
  <c r="AI150" i="6"/>
  <c r="AF150" i="6"/>
  <c r="AM150" i="6"/>
  <c r="AT150" i="6"/>
  <c r="AE150" i="6"/>
  <c r="BA150" i="6"/>
  <c r="BC150" i="6"/>
  <c r="BD150" i="6"/>
  <c r="BE150" i="6"/>
  <c r="BG150" i="6"/>
  <c r="AD150" i="6"/>
  <c r="AB150" i="6"/>
  <c r="AU150" i="6"/>
  <c r="AN150" i="6"/>
  <c r="AY150" i="6"/>
  <c r="AG150" i="6"/>
  <c r="BB150" i="6"/>
  <c r="AH150" i="6"/>
  <c r="BF150" i="6"/>
  <c r="AR150" i="6"/>
  <c r="AO150" i="6"/>
  <c r="AQ150" i="6"/>
  <c r="X147" i="12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R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AF155" i="5"/>
  <c r="N149" i="12" l="1"/>
  <c r="AM152" i="6"/>
  <c r="AP152" i="6"/>
  <c r="BE152" i="6"/>
  <c r="AG155" i="5"/>
  <c r="S155" i="5"/>
  <c r="F155" i="12" s="1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R155" i="5"/>
  <c r="D154" i="6"/>
  <c r="D149" i="12"/>
  <c r="E149" i="6"/>
  <c r="AM151" i="5"/>
  <c r="I151" i="12"/>
  <c r="L151" i="5"/>
  <c r="Z151" i="5"/>
  <c r="AC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E154" i="12"/>
  <c r="F154" i="6"/>
  <c r="K153" i="12"/>
  <c r="Y149" i="12"/>
  <c r="AF156" i="5"/>
  <c r="Y150" i="12" l="1"/>
  <c r="X150" i="12" s="1"/>
  <c r="AG156" i="5"/>
  <c r="S156" i="5"/>
  <c r="F156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R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I152" i="12"/>
  <c r="L152" i="5"/>
  <c r="AM152" i="5"/>
  <c r="Z152" i="5"/>
  <c r="AC152" i="5"/>
  <c r="C151" i="6"/>
  <c r="O151" i="5"/>
  <c r="E155" i="12"/>
  <c r="F155" i="6"/>
  <c r="J155" i="12"/>
  <c r="L155" i="12"/>
  <c r="G153" i="12"/>
  <c r="X153" i="5"/>
  <c r="AF157" i="5"/>
  <c r="W150" i="12" l="1"/>
  <c r="T150" i="12" s="1"/>
  <c r="N151" i="12"/>
  <c r="AB153" i="6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G157" i="5"/>
  <c r="S157" i="5"/>
  <c r="F157" i="12" s="1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R157" i="5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G155" i="6"/>
  <c r="H155" i="6"/>
  <c r="T155" i="5" s="1"/>
  <c r="F156" i="6"/>
  <c r="E156" i="12"/>
  <c r="G154" i="12"/>
  <c r="X154" i="5"/>
  <c r="AF158" i="5"/>
  <c r="U150" i="12" l="1"/>
  <c r="V150" i="12"/>
  <c r="AV154" i="6"/>
  <c r="AP154" i="6"/>
  <c r="A156" i="6"/>
  <c r="M156" i="6" s="1"/>
  <c r="X151" i="12"/>
  <c r="BD154" i="6"/>
  <c r="AK154" i="6"/>
  <c r="AI154" i="6"/>
  <c r="BG154" i="6"/>
  <c r="AZ154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R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C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G156" i="6"/>
  <c r="F157" i="6"/>
  <c r="E157" i="12"/>
  <c r="L157" i="12"/>
  <c r="J157" i="12"/>
  <c r="N152" i="12"/>
  <c r="AA153" i="5"/>
  <c r="AB153" i="5"/>
  <c r="C153" i="12"/>
  <c r="AO153" i="12"/>
  <c r="M153" i="12"/>
  <c r="O153" i="12"/>
  <c r="C153" i="6"/>
  <c r="O153" i="5"/>
  <c r="AF159" i="5"/>
  <c r="W152" i="12" l="1"/>
  <c r="V152" i="12" s="1"/>
  <c r="AI156" i="6"/>
  <c r="AV156" i="6"/>
  <c r="AG159" i="5"/>
  <c r="S159" i="5"/>
  <c r="F159" i="12" s="1"/>
  <c r="AJ156" i="6"/>
  <c r="BD156" i="6"/>
  <c r="AO156" i="6"/>
  <c r="AC156" i="6"/>
  <c r="BC156" i="6"/>
  <c r="AQ156" i="6"/>
  <c r="AS156" i="6"/>
  <c r="AY156" i="6"/>
  <c r="AK156" i="6"/>
  <c r="AE156" i="6"/>
  <c r="AU156" i="6"/>
  <c r="N153" i="12"/>
  <c r="BB156" i="6"/>
  <c r="AX156" i="6"/>
  <c r="AN156" i="6"/>
  <c r="BA156" i="6"/>
  <c r="BE156" i="6"/>
  <c r="AF156" i="6"/>
  <c r="D153" i="12"/>
  <c r="E153" i="6"/>
  <c r="Y153" i="12"/>
  <c r="C154" i="6"/>
  <c r="O154" i="5"/>
  <c r="T152" i="12"/>
  <c r="H157" i="6"/>
  <c r="T157" i="5" s="1"/>
  <c r="G157" i="6"/>
  <c r="L158" i="12"/>
  <c r="J158" i="12"/>
  <c r="D158" i="6"/>
  <c r="K157" i="12"/>
  <c r="AD156" i="6"/>
  <c r="AH156" i="6"/>
  <c r="AP156" i="6"/>
  <c r="AZ156" i="6"/>
  <c r="AB156" i="6"/>
  <c r="AG156" i="6"/>
  <c r="AT156" i="6"/>
  <c r="AM156" i="6"/>
  <c r="BF156" i="6"/>
  <c r="BG156" i="6"/>
  <c r="AR156" i="6"/>
  <c r="G156" i="12"/>
  <c r="X156" i="5"/>
  <c r="L155" i="5"/>
  <c r="I155" i="12"/>
  <c r="AM155" i="5"/>
  <c r="Z155" i="5"/>
  <c r="AC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R159" i="5"/>
  <c r="J159" i="5"/>
  <c r="B159" i="6"/>
  <c r="B159" i="5"/>
  <c r="A159" i="12"/>
  <c r="K159" i="5"/>
  <c r="AD159" i="5"/>
  <c r="W159" i="5"/>
  <c r="H159" i="12" s="1"/>
  <c r="E159" i="5"/>
  <c r="F159" i="5"/>
  <c r="F158" i="6"/>
  <c r="E158" i="12"/>
  <c r="A157" i="6"/>
  <c r="AF160" i="5"/>
  <c r="U152" i="12" l="1"/>
  <c r="AG160" i="5"/>
  <c r="S160" i="5"/>
  <c r="F160" i="12" s="1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AC156" i="5"/>
  <c r="K158" i="12"/>
  <c r="J159" i="12"/>
  <c r="L159" i="12"/>
  <c r="E159" i="12"/>
  <c r="F159" i="6"/>
  <c r="D159" i="6"/>
  <c r="N154" i="12"/>
  <c r="AB155" i="5"/>
  <c r="AA155" i="5"/>
  <c r="C155" i="6"/>
  <c r="O155" i="5"/>
  <c r="H158" i="6"/>
  <c r="T158" i="5" s="1"/>
  <c r="G158" i="6"/>
  <c r="A158" i="6"/>
  <c r="G157" i="12"/>
  <c r="X157" i="5"/>
  <c r="E154" i="6"/>
  <c r="D154" i="12"/>
  <c r="X153" i="12"/>
  <c r="W153" i="12"/>
  <c r="AF161" i="5"/>
  <c r="W154" i="12" l="1"/>
  <c r="V154" i="12" s="1"/>
  <c r="Y155" i="12"/>
  <c r="W155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AC157" i="5"/>
  <c r="M158" i="6"/>
  <c r="H159" i="6"/>
  <c r="T159" i="5" s="1"/>
  <c r="G159" i="6"/>
  <c r="K159" i="12"/>
  <c r="AA156" i="5"/>
  <c r="AB156" i="5"/>
  <c r="C156" i="12"/>
  <c r="AO156" i="12"/>
  <c r="O156" i="12"/>
  <c r="M156" i="12"/>
  <c r="C156" i="6"/>
  <c r="O156" i="5"/>
  <c r="E160" i="12"/>
  <c r="F160" i="6"/>
  <c r="J160" i="12"/>
  <c r="L160" i="12"/>
  <c r="D160" i="6"/>
  <c r="AF162" i="5"/>
  <c r="T154" i="12" l="1"/>
  <c r="U154" i="12"/>
  <c r="X155" i="12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AC158" i="5"/>
  <c r="H160" i="6"/>
  <c r="T160" i="5" s="1"/>
  <c r="G160" i="6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U155" i="12"/>
  <c r="V155" i="12"/>
  <c r="T155" i="12"/>
  <c r="AF163" i="5"/>
  <c r="K161" i="12" l="1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C159" i="5"/>
  <c r="F162" i="6"/>
  <c r="E162" i="12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AF164" i="5"/>
  <c r="W157" i="12" l="1"/>
  <c r="T157" i="12" s="1"/>
  <c r="AG164" i="5"/>
  <c r="S164" i="5"/>
  <c r="F164" i="12" s="1"/>
  <c r="A162" i="6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AC160" i="5"/>
  <c r="F163" i="6"/>
  <c r="E163" i="12"/>
  <c r="K162" i="12"/>
  <c r="AF165" i="5"/>
  <c r="U157" i="12" l="1"/>
  <c r="V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D159" i="12"/>
  <c r="E159" i="6"/>
  <c r="W158" i="12"/>
  <c r="X158" i="12"/>
  <c r="AF166" i="5"/>
  <c r="X159" i="12" l="1"/>
  <c r="AV162" i="6"/>
  <c r="BD162" i="6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U160" i="12" l="1"/>
  <c r="AN164" i="6"/>
  <c r="AG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AG165" i="6"/>
  <c r="AD165" i="6"/>
  <c r="AF169" i="5"/>
  <c r="N163" i="12" l="1"/>
  <c r="W162" i="12"/>
  <c r="V162" i="12" s="1"/>
  <c r="A167" i="6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BA167" i="6" l="1"/>
  <c r="AX167" i="6"/>
  <c r="AI167" i="6"/>
  <c r="BG167" i="6"/>
  <c r="BC167" i="6"/>
  <c r="BE167" i="6"/>
  <c r="AG167" i="6"/>
  <c r="AC167" i="6"/>
  <c r="AN167" i="6"/>
  <c r="AU167" i="6"/>
  <c r="AH167" i="6"/>
  <c r="AD167" i="6"/>
  <c r="AF167" i="6"/>
  <c r="BB167" i="6"/>
  <c r="AY167" i="6"/>
  <c r="AZ167" i="6"/>
  <c r="AE167" i="6"/>
  <c r="AJ167" i="6"/>
  <c r="AQ167" i="6"/>
  <c r="AP167" i="6"/>
  <c r="AV167" i="6"/>
  <c r="AK167" i="6"/>
  <c r="AR167" i="6"/>
  <c r="BF167" i="6"/>
  <c r="AS167" i="6"/>
  <c r="AT167" i="6"/>
  <c r="AO167" i="6"/>
  <c r="N165" i="12"/>
  <c r="AM167" i="6"/>
  <c r="AB167" i="6"/>
  <c r="S171" i="5"/>
  <c r="F171" i="12" s="1"/>
  <c r="AG171" i="5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T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AF173" i="5"/>
  <c r="U165" i="12" l="1"/>
  <c r="V165" i="12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AF175" i="5"/>
  <c r="W168" i="12" l="1"/>
  <c r="U168" i="12" s="1"/>
  <c r="S175" i="5"/>
  <c r="F175" i="12" s="1"/>
  <c r="AG175" i="5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V168" i="12" l="1"/>
  <c r="T168" i="12"/>
  <c r="X169" i="12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AI177" i="6" l="1"/>
  <c r="BC177" i="6"/>
  <c r="BB177" i="6"/>
  <c r="AS177" i="6"/>
  <c r="AB177" i="6"/>
  <c r="AJ177" i="6"/>
  <c r="AD177" i="6"/>
  <c r="AR177" i="6"/>
  <c r="AY177" i="6"/>
  <c r="AZ177" i="6"/>
  <c r="AP177" i="6"/>
  <c r="AX177" i="6"/>
  <c r="AF177" i="6"/>
  <c r="AE177" i="6"/>
  <c r="BE177" i="6"/>
  <c r="AH177" i="6"/>
  <c r="BG177" i="6"/>
  <c r="BF177" i="6"/>
  <c r="AG177" i="6"/>
  <c r="BA177" i="6"/>
  <c r="AT177" i="6"/>
  <c r="AK177" i="6"/>
  <c r="AU177" i="6"/>
  <c r="AN177" i="6"/>
  <c r="AQ177" i="6"/>
  <c r="AO177" i="6"/>
  <c r="AV177" i="6"/>
  <c r="AC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AE178" i="6"/>
  <c r="AK178" i="6"/>
  <c r="AF182" i="5"/>
  <c r="T174" i="12" l="1"/>
  <c r="M179" i="6"/>
  <c r="BF179" i="6" s="1"/>
  <c r="U174" i="12"/>
  <c r="A180" i="6"/>
  <c r="M180" i="6" s="1"/>
  <c r="W175" i="12"/>
  <c r="V175" i="12" s="1"/>
  <c r="S182" i="5"/>
  <c r="F182" i="12" s="1"/>
  <c r="AG182" i="5"/>
  <c r="K180" i="12"/>
  <c r="Y176" i="12"/>
  <c r="X176" i="12" s="1"/>
  <c r="F181" i="6"/>
  <c r="E181" i="12"/>
  <c r="J181" i="12"/>
  <c r="L181" i="12"/>
  <c r="D181" i="6"/>
  <c r="AB177" i="5"/>
  <c r="AA177" i="5"/>
  <c r="C177" i="6"/>
  <c r="O177" i="5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N176" i="12"/>
  <c r="AF183" i="5"/>
  <c r="AE179" i="6" l="1"/>
  <c r="AF179" i="6"/>
  <c r="BA179" i="6"/>
  <c r="AX179" i="6"/>
  <c r="AV179" i="6"/>
  <c r="AN179" i="6"/>
  <c r="BE179" i="6"/>
  <c r="BD179" i="6"/>
  <c r="AD179" i="6"/>
  <c r="T175" i="12"/>
  <c r="AZ179" i="6"/>
  <c r="AM179" i="6"/>
  <c r="AR179" i="6"/>
  <c r="AH179" i="6"/>
  <c r="AT179" i="6"/>
  <c r="AC179" i="6"/>
  <c r="BC179" i="6"/>
  <c r="AQ179" i="6"/>
  <c r="AI179" i="6"/>
  <c r="BB179" i="6"/>
  <c r="AU179" i="6"/>
  <c r="AP179" i="6"/>
  <c r="AY179" i="6"/>
  <c r="AK179" i="6"/>
  <c r="AB179" i="6"/>
  <c r="AG179" i="6"/>
  <c r="AJ179" i="6"/>
  <c r="BG179" i="6"/>
  <c r="AO179" i="6"/>
  <c r="AS179" i="6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T176" i="12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N178" i="12" l="1"/>
  <c r="V176" i="12"/>
  <c r="A182" i="6"/>
  <c r="M182" i="6" s="1"/>
  <c r="AP182" i="6" s="1"/>
  <c r="AG184" i="5"/>
  <c r="S184" i="5"/>
  <c r="F184" i="12" s="1"/>
  <c r="K182" i="12"/>
  <c r="X177" i="12"/>
  <c r="W177" i="12"/>
  <c r="AA179" i="5"/>
  <c r="AB179" i="5"/>
  <c r="C179" i="6"/>
  <c r="O179" i="5"/>
  <c r="M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AR182" i="6" l="1"/>
  <c r="AS182" i="6"/>
  <c r="AG185" i="5"/>
  <c r="S185" i="5"/>
  <c r="F185" i="12" s="1"/>
  <c r="AD182" i="6"/>
  <c r="AC182" i="6"/>
  <c r="AQ182" i="6"/>
  <c r="AU182" i="6"/>
  <c r="BC182" i="6"/>
  <c r="BG182" i="6"/>
  <c r="AY182" i="6"/>
  <c r="AE182" i="6"/>
  <c r="AM182" i="6"/>
  <c r="AN182" i="6"/>
  <c r="BA182" i="6"/>
  <c r="AO182" i="6"/>
  <c r="K183" i="12"/>
  <c r="AT182" i="6"/>
  <c r="AZ182" i="6"/>
  <c r="BE182" i="6"/>
  <c r="AK182" i="6"/>
  <c r="AJ182" i="6"/>
  <c r="BF182" i="6"/>
  <c r="AV182" i="6"/>
  <c r="AF182" i="6"/>
  <c r="AX182" i="6"/>
  <c r="BD182" i="6"/>
  <c r="BB182" i="6"/>
  <c r="AI182" i="6"/>
  <c r="AG182" i="6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B182" i="6"/>
  <c r="AH182" i="6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N180" i="12" l="1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A186" i="6" l="1"/>
  <c r="M186" i="6" s="1"/>
  <c r="AN186" i="6" s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A187" i="6" l="1"/>
  <c r="M187" i="6" s="1"/>
  <c r="AU187" i="6" s="1"/>
  <c r="AG189" i="5"/>
  <c r="S189" i="5"/>
  <c r="F189" i="12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E183" i="6"/>
  <c r="D183" i="12"/>
  <c r="AA184" i="5"/>
  <c r="AB184" i="5"/>
  <c r="C184" i="6"/>
  <c r="O184" i="5"/>
  <c r="L188" i="12"/>
  <c r="J188" i="12"/>
  <c r="X182" i="12"/>
  <c r="W182" i="12"/>
  <c r="AB186" i="6"/>
  <c r="BE186" i="6"/>
  <c r="AY186" i="6"/>
  <c r="G186" i="12"/>
  <c r="X186" i="5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Y184" i="12" l="1"/>
  <c r="W184" i="12" s="1"/>
  <c r="S190" i="5"/>
  <c r="F190" i="12" s="1"/>
  <c r="AG190" i="5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AC186" i="5"/>
  <c r="E184" i="6"/>
  <c r="D184" i="12"/>
  <c r="AF191" i="5"/>
  <c r="X184" i="12" l="1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6" i="12" l="1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T187" i="12" s="1"/>
  <c r="A192" i="6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V187" i="12" l="1"/>
  <c r="U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A194" i="6" s="1"/>
  <c r="T188" i="12"/>
  <c r="V188" i="12"/>
  <c r="U188" i="12"/>
  <c r="C190" i="12"/>
  <c r="M190" i="12"/>
  <c r="AO190" i="12"/>
  <c r="O190" i="12"/>
  <c r="C190" i="6"/>
  <c r="O190" i="5"/>
  <c r="AF196" i="5"/>
  <c r="AE192" i="6" l="1"/>
  <c r="AF192" i="6"/>
  <c r="AM192" i="6"/>
  <c r="BD192" i="6"/>
  <c r="BF192" i="6"/>
  <c r="BA192" i="6"/>
  <c r="AZ192" i="6"/>
  <c r="AS192" i="6"/>
  <c r="AU192" i="6"/>
  <c r="AO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M194" i="6"/>
  <c r="G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W190" i="12" l="1"/>
  <c r="T190" i="12" s="1"/>
  <c r="AG194" i="6"/>
  <c r="AP194" i="6"/>
  <c r="AS194" i="6"/>
  <c r="AR194" i="6"/>
  <c r="AH194" i="6"/>
  <c r="AT194" i="6"/>
  <c r="S197" i="5"/>
  <c r="F197" i="12" s="1"/>
  <c r="AG197" i="5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AF198" i="5"/>
  <c r="V190" i="12" l="1"/>
  <c r="U190" i="12"/>
  <c r="N192" i="12"/>
  <c r="AG198" i="5"/>
  <c r="S198" i="5"/>
  <c r="F198" i="12" s="1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AB195" i="6" l="1"/>
  <c r="BF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BD196" i="6" l="1"/>
  <c r="AH196" i="6"/>
  <c r="AD196" i="6"/>
  <c r="AF196" i="6"/>
  <c r="AT196" i="6"/>
  <c r="AU196" i="6"/>
  <c r="AI196" i="6"/>
  <c r="BC196" i="6"/>
  <c r="AG196" i="6"/>
  <c r="BF196" i="6"/>
  <c r="AN196" i="6"/>
  <c r="AP196" i="6"/>
  <c r="BA196" i="6"/>
  <c r="AZ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AF206" i="5"/>
  <c r="U198" i="12" l="1"/>
  <c r="V198" i="12"/>
  <c r="X199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N201" i="12" l="1"/>
  <c r="AG203" i="6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X201" i="12" l="1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T205" i="12" s="1"/>
  <c r="Y206" i="12"/>
  <c r="W206" i="12" s="1"/>
  <c r="S212" i="5"/>
  <c r="F212" i="12" s="1"/>
  <c r="AG212" i="5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U205" i="12" l="1"/>
  <c r="X206" i="12"/>
  <c r="V205" i="12"/>
  <c r="AG213" i="5"/>
  <c r="S213" i="5"/>
  <c r="F213" i="12" s="1"/>
  <c r="A211" i="6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U206" i="12"/>
  <c r="T206" i="12"/>
  <c r="V206" i="12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A212" i="6" l="1"/>
  <c r="M212" i="6" s="1"/>
  <c r="AR212" i="6" s="1"/>
  <c r="M211" i="6"/>
  <c r="AT211" i="6" s="1"/>
  <c r="N208" i="12"/>
  <c r="W207" i="12"/>
  <c r="V207" i="12" s="1"/>
  <c r="AG214" i="5"/>
  <c r="S214" i="5"/>
  <c r="F214" i="12" s="1"/>
  <c r="Y208" i="12"/>
  <c r="X208" i="12" s="1"/>
  <c r="AM210" i="5"/>
  <c r="I210" i="12"/>
  <c r="L210" i="5"/>
  <c r="Z210" i="5"/>
  <c r="AC210" i="5"/>
  <c r="G211" i="12"/>
  <c r="X211" i="5"/>
  <c r="D213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BB211" i="6" l="1"/>
  <c r="AB211" i="6"/>
  <c r="AI211" i="6"/>
  <c r="BF211" i="6"/>
  <c r="AN211" i="6"/>
  <c r="AP211" i="6"/>
  <c r="AE211" i="6"/>
  <c r="AX211" i="6"/>
  <c r="AU211" i="6"/>
  <c r="AM211" i="6"/>
  <c r="AD211" i="6"/>
  <c r="AZ211" i="6"/>
  <c r="BA211" i="6"/>
  <c r="AQ211" i="6"/>
  <c r="BD211" i="6"/>
  <c r="AF211" i="6"/>
  <c r="BC211" i="6"/>
  <c r="AO211" i="6"/>
  <c r="AV211" i="6"/>
  <c r="AY211" i="6"/>
  <c r="AR211" i="6"/>
  <c r="BG211" i="6"/>
  <c r="AH211" i="6"/>
  <c r="AJ211" i="6"/>
  <c r="AK211" i="6"/>
  <c r="AG211" i="6"/>
  <c r="AS211" i="6"/>
  <c r="AC211" i="6"/>
  <c r="BE211" i="6"/>
  <c r="W208" i="12"/>
  <c r="T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V208" i="12" l="1"/>
  <c r="U208" i="12"/>
  <c r="N210" i="12"/>
  <c r="AG216" i="5"/>
  <c r="S216" i="5"/>
  <c r="F216" i="12" s="1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G221" i="5"/>
  <c r="S221" i="5"/>
  <c r="F221" i="12" s="1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F222" i="5"/>
  <c r="AM219" i="6" l="1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X220" i="12" l="1"/>
  <c r="AX223" i="6"/>
  <c r="BF223" i="6"/>
  <c r="BG223" i="6"/>
  <c r="BB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X222" i="12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S229" i="5" l="1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X224" i="12" s="1"/>
  <c r="X223" i="12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W224" i="12" l="1"/>
  <c r="T224" i="12" s="1"/>
  <c r="A229" i="6"/>
  <c r="M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A230" i="6" l="1"/>
  <c r="M230" i="6" s="1"/>
  <c r="AR230" i="6" s="1"/>
  <c r="V224" i="12"/>
  <c r="U224" i="12"/>
  <c r="X225" i="12"/>
  <c r="AC229" i="6"/>
  <c r="AK229" i="6"/>
  <c r="AH229" i="6"/>
  <c r="AJ229" i="6"/>
  <c r="AG232" i="5"/>
  <c r="S232" i="5"/>
  <c r="F232" i="12" s="1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A231" i="6" l="1"/>
  <c r="M231" i="6" s="1"/>
  <c r="AQ231" i="6" s="1"/>
  <c r="X226" i="12"/>
  <c r="AO230" i="6"/>
  <c r="AM230" i="6"/>
  <c r="AS230" i="6"/>
  <c r="BB230" i="6"/>
  <c r="AU230" i="6"/>
  <c r="BD230" i="6"/>
  <c r="BE230" i="6"/>
  <c r="BF230" i="6"/>
  <c r="AG233" i="5"/>
  <c r="S233" i="5"/>
  <c r="F233" i="12" s="1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B230" i="6"/>
  <c r="AE230" i="6"/>
  <c r="AG230" i="6"/>
  <c r="AK230" i="6"/>
  <c r="AJ230" i="6"/>
  <c r="AF234" i="5"/>
  <c r="A232" i="6" l="1"/>
  <c r="M232" i="6" s="1"/>
  <c r="AM232" i="6" s="1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Y229" i="12" l="1"/>
  <c r="X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AF236" i="5"/>
  <c r="W229" i="12" l="1"/>
  <c r="T229" i="12" s="1"/>
  <c r="Y230" i="12"/>
  <c r="X230" i="12" s="1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F235" i="6"/>
  <c r="E235" i="12"/>
  <c r="D235" i="6"/>
  <c r="G233" i="12"/>
  <c r="X233" i="5"/>
  <c r="AA231" i="5"/>
  <c r="AB231" i="5"/>
  <c r="C231" i="12"/>
  <c r="M231" i="12"/>
  <c r="AO231" i="12"/>
  <c r="O231" i="12"/>
  <c r="G234" i="6"/>
  <c r="H234" i="6"/>
  <c r="T234" i="5" s="1"/>
  <c r="K234" i="12"/>
  <c r="AF237" i="5"/>
  <c r="V229" i="12" l="1"/>
  <c r="U229" i="12"/>
  <c r="W230" i="12"/>
  <c r="U230" i="12" s="1"/>
  <c r="N231" i="12"/>
  <c r="M234" i="6"/>
  <c r="AY234" i="6" s="1"/>
  <c r="S237" i="5"/>
  <c r="F237" i="12" s="1"/>
  <c r="AG237" i="5"/>
  <c r="A235" i="6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F236" i="6"/>
  <c r="E236" i="12"/>
  <c r="C232" i="12"/>
  <c r="O232" i="12"/>
  <c r="AO232" i="12"/>
  <c r="M232" i="12"/>
  <c r="AF238" i="5"/>
  <c r="AH234" i="6" l="1"/>
  <c r="T230" i="12"/>
  <c r="V230" i="12"/>
  <c r="AI234" i="6"/>
  <c r="AE234" i="6"/>
  <c r="AN234" i="6"/>
  <c r="AS234" i="6"/>
  <c r="AO234" i="6"/>
  <c r="AB234" i="6"/>
  <c r="AF234" i="6"/>
  <c r="AM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AM238" i="6" l="1"/>
  <c r="AN238" i="6"/>
  <c r="BC238" i="6"/>
  <c r="AY238" i="6"/>
  <c r="AT238" i="6"/>
  <c r="AU238" i="6"/>
  <c r="AP238" i="6"/>
  <c r="BA238" i="6"/>
  <c r="BD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U236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T236" i="12" l="1"/>
  <c r="S244" i="5"/>
  <c r="F244" i="12" s="1"/>
  <c r="AG244" i="5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M244" i="6" l="1"/>
  <c r="AU244" i="6" s="1"/>
  <c r="N241" i="12"/>
  <c r="AG247" i="5"/>
  <c r="S247" i="5"/>
  <c r="F247" i="12" s="1"/>
  <c r="K245" i="12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J243" i="6"/>
  <c r="AD243" i="6"/>
  <c r="AF248" i="5"/>
  <c r="AG244" i="6" l="1"/>
  <c r="AH244" i="6"/>
  <c r="AJ244" i="6"/>
  <c r="AK244" i="6"/>
  <c r="BE244" i="6"/>
  <c r="AN244" i="6"/>
  <c r="AZ244" i="6"/>
  <c r="AY244" i="6"/>
  <c r="AO244" i="6"/>
  <c r="AF244" i="6"/>
  <c r="AS244" i="6"/>
  <c r="AT244" i="6"/>
  <c r="AB244" i="6"/>
  <c r="BF244" i="6"/>
  <c r="BG244" i="6"/>
  <c r="AC244" i="6"/>
  <c r="AV244" i="6"/>
  <c r="AI244" i="6"/>
  <c r="AM244" i="6"/>
  <c r="AR244" i="6"/>
  <c r="AP244" i="6"/>
  <c r="AQ244" i="6"/>
  <c r="AE244" i="6"/>
  <c r="BB244" i="6"/>
  <c r="BA244" i="6"/>
  <c r="BC244" i="6"/>
  <c r="AD244" i="6"/>
  <c r="AX244" i="6"/>
  <c r="BD244" i="6"/>
  <c r="S248" i="5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AF251" i="5"/>
  <c r="W244" i="12" l="1"/>
  <c r="U244" i="12" s="1"/>
  <c r="M248" i="6"/>
  <c r="BG248" i="6" s="1"/>
  <c r="A249" i="6"/>
  <c r="M249" i="6" s="1"/>
  <c r="BA249" i="6" s="1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AJ248" i="6" l="1"/>
  <c r="V244" i="12"/>
  <c r="T244" i="12"/>
  <c r="AP248" i="6"/>
  <c r="AT248" i="6"/>
  <c r="AS248" i="6"/>
  <c r="AE248" i="6"/>
  <c r="BA248" i="6"/>
  <c r="AK248" i="6"/>
  <c r="AR248" i="6"/>
  <c r="BC248" i="6"/>
  <c r="AY248" i="6"/>
  <c r="BD248" i="6"/>
  <c r="AN248" i="6"/>
  <c r="AF248" i="6"/>
  <c r="AQ248" i="6"/>
  <c r="AO248" i="6"/>
  <c r="AV248" i="6"/>
  <c r="AB248" i="6"/>
  <c r="BE248" i="6"/>
  <c r="BB248" i="6"/>
  <c r="AD248" i="6"/>
  <c r="BF248" i="6"/>
  <c r="AX248" i="6"/>
  <c r="AG248" i="6"/>
  <c r="AZ248" i="6"/>
  <c r="AH248" i="6"/>
  <c r="AM248" i="6"/>
  <c r="AC248" i="6"/>
  <c r="AU248" i="6"/>
  <c r="AI248" i="6"/>
  <c r="X245" i="12"/>
  <c r="AG249" i="6"/>
  <c r="AU249" i="6"/>
  <c r="BF249" i="6"/>
  <c r="AS249" i="6"/>
  <c r="BD249" i="6"/>
  <c r="BC249" i="6"/>
  <c r="AM249" i="6"/>
  <c r="AX249" i="6"/>
  <c r="AY249" i="6"/>
  <c r="AZ249" i="6"/>
  <c r="BB249" i="6"/>
  <c r="AI249" i="6"/>
  <c r="BE249" i="6"/>
  <c r="AG252" i="5"/>
  <c r="S252" i="5"/>
  <c r="F252" i="12" s="1"/>
  <c r="Y246" i="12"/>
  <c r="X246" i="12" s="1"/>
  <c r="BG249" i="6"/>
  <c r="AT249" i="6"/>
  <c r="AR249" i="6"/>
  <c r="AQ249" i="6"/>
  <c r="AE249" i="6"/>
  <c r="AV249" i="6"/>
  <c r="AO249" i="6"/>
  <c r="AN249" i="6"/>
  <c r="AP249" i="6"/>
  <c r="K250" i="12"/>
  <c r="AK249" i="6"/>
  <c r="AD249" i="6"/>
  <c r="AJ249" i="6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AC249" i="6"/>
  <c r="AH249" i="6"/>
  <c r="AF249" i="6"/>
  <c r="AB249" i="6"/>
  <c r="E251" i="12"/>
  <c r="F251" i="6"/>
  <c r="J251" i="12"/>
  <c r="L251" i="12"/>
  <c r="E246" i="6"/>
  <c r="D246" i="12"/>
  <c r="A250" i="6"/>
  <c r="C247" i="12"/>
  <c r="AO247" i="12"/>
  <c r="O247" i="12"/>
  <c r="M247" i="12"/>
  <c r="AF253" i="5"/>
  <c r="W246" i="12" l="1"/>
  <c r="U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V246" i="12" l="1"/>
  <c r="T246" i="12"/>
  <c r="M251" i="6"/>
  <c r="BE251" i="6" s="1"/>
  <c r="A252" i="6"/>
  <c r="M252" i="6" s="1"/>
  <c r="BE252" i="6" s="1"/>
  <c r="S254" i="5"/>
  <c r="F254" i="12" s="1"/>
  <c r="AG254" i="5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AH251" i="6" l="1"/>
  <c r="BB251" i="6"/>
  <c r="AO251" i="6"/>
  <c r="AV251" i="6"/>
  <c r="BC251" i="6"/>
  <c r="AU251" i="6"/>
  <c r="AY251" i="6"/>
  <c r="AS251" i="6"/>
  <c r="AB251" i="6"/>
  <c r="AR251" i="6"/>
  <c r="AE251" i="6"/>
  <c r="AJ251" i="6"/>
  <c r="AC251" i="6"/>
  <c r="BA251" i="6"/>
  <c r="AM251" i="6"/>
  <c r="AN251" i="6"/>
  <c r="AF251" i="6"/>
  <c r="BG251" i="6"/>
  <c r="AQ251" i="6"/>
  <c r="BF251" i="6"/>
  <c r="AX251" i="6"/>
  <c r="AP251" i="6"/>
  <c r="AI251" i="6"/>
  <c r="AT251" i="6"/>
  <c r="BD251" i="6"/>
  <c r="AK251" i="6"/>
  <c r="AD251" i="6"/>
  <c r="AZ251" i="6"/>
  <c r="AG251" i="6"/>
  <c r="BD252" i="6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A254" i="6" l="1"/>
  <c r="M254" i="6" s="1"/>
  <c r="AV254" i="6" s="1"/>
  <c r="X249" i="12"/>
  <c r="Y250" i="12"/>
  <c r="W250" i="12" s="1"/>
  <c r="AG256" i="5"/>
  <c r="S256" i="5"/>
  <c r="F256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E255" i="12"/>
  <c r="F255" i="6"/>
  <c r="H254" i="6"/>
  <c r="T254" i="5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A255" i="6" l="1"/>
  <c r="M255" i="6" s="1"/>
  <c r="AQ255" i="6" s="1"/>
  <c r="X250" i="12"/>
  <c r="AG254" i="6"/>
  <c r="AH254" i="6"/>
  <c r="S257" i="5"/>
  <c r="F257" i="12" s="1"/>
  <c r="AG257" i="5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G255" i="6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A256" i="6" l="1"/>
  <c r="M256" i="6" s="1"/>
  <c r="BF256" i="6" s="1"/>
  <c r="Y252" i="12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S258" i="5"/>
  <c r="F258" i="12" s="1"/>
  <c r="AG258" i="5"/>
  <c r="AT255" i="6"/>
  <c r="AN255" i="6"/>
  <c r="BD255" i="6"/>
  <c r="AV255" i="6"/>
  <c r="AH255" i="6"/>
  <c r="AM255" i="6"/>
  <c r="N252" i="12"/>
  <c r="AB255" i="6"/>
  <c r="AK255" i="6"/>
  <c r="G255" i="12"/>
  <c r="X255" i="5"/>
  <c r="W252" i="12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G256" i="6"/>
  <c r="H256" i="6"/>
  <c r="T256" i="5" s="1"/>
  <c r="AG255" i="6"/>
  <c r="AF255" i="6"/>
  <c r="AI255" i="6"/>
  <c r="AC255" i="6"/>
  <c r="AJ255" i="6"/>
  <c r="L254" i="5"/>
  <c r="I254" i="12"/>
  <c r="AM254" i="5"/>
  <c r="Z254" i="5"/>
  <c r="AC254" i="5"/>
  <c r="E257" i="12"/>
  <c r="F257" i="6"/>
  <c r="D257" i="6"/>
  <c r="C253" i="12"/>
  <c r="AO253" i="12"/>
  <c r="O253" i="12"/>
  <c r="M253" i="12"/>
  <c r="AF259" i="5"/>
  <c r="A257" i="6" l="1"/>
  <c r="M257" i="6" s="1"/>
  <c r="BG257" i="6" s="1"/>
  <c r="T251" i="12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V252" i="12"/>
  <c r="T252" i="12"/>
  <c r="U252" i="12"/>
  <c r="AF260" i="5"/>
  <c r="Y254" i="12" l="1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AF261" i="5"/>
  <c r="W254" i="12" l="1"/>
  <c r="U254" i="12" s="1"/>
  <c r="Y255" i="12"/>
  <c r="W255" i="12" s="1"/>
  <c r="K259" i="12"/>
  <c r="AG261" i="5"/>
  <c r="S261" i="5"/>
  <c r="F261" i="12" s="1"/>
  <c r="A259" i="6"/>
  <c r="C256" i="6"/>
  <c r="O256" i="5"/>
  <c r="M258" i="6"/>
  <c r="AD258" i="6" s="1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V254" i="12" l="1"/>
  <c r="T254" i="12"/>
  <c r="X255" i="12"/>
  <c r="N256" i="12"/>
  <c r="M259" i="6"/>
  <c r="AJ259" i="6" s="1"/>
  <c r="A260" i="6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261" i="6" l="1"/>
  <c r="AD259" i="6"/>
  <c r="N257" i="12"/>
  <c r="AC259" i="6"/>
  <c r="BD259" i="6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M261" i="6"/>
  <c r="BA261" i="6" s="1"/>
  <c r="G260" i="12"/>
  <c r="X260" i="5"/>
  <c r="AA258" i="5"/>
  <c r="AB258" i="5"/>
  <c r="C258" i="12"/>
  <c r="M258" i="12"/>
  <c r="O258" i="12"/>
  <c r="AO258" i="12"/>
  <c r="C258" i="6"/>
  <c r="O258" i="5"/>
  <c r="AF264" i="5"/>
  <c r="BA260" i="6" l="1"/>
  <c r="AD260" i="6"/>
  <c r="AH260" i="6"/>
  <c r="AC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J62" i="5" l="1"/>
  <c r="K62" i="5"/>
  <c r="O19" i="5"/>
  <c r="E19" i="6" s="1"/>
  <c r="J30" i="5"/>
  <c r="K30" i="5"/>
  <c r="O18" i="5"/>
  <c r="E18" i="6" s="1"/>
  <c r="K51" i="5"/>
  <c r="J51" i="5"/>
  <c r="J39" i="5"/>
  <c r="K39" i="5"/>
  <c r="K33" i="5"/>
  <c r="J33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62" i="5" l="1"/>
  <c r="B62" i="12" s="1"/>
  <c r="D19" i="12"/>
  <c r="D30" i="5"/>
  <c r="D51" i="5"/>
  <c r="B51" i="12" s="1"/>
  <c r="D18" i="12"/>
  <c r="D39" i="5"/>
  <c r="B39" i="12" s="1"/>
  <c r="D33" i="5"/>
  <c r="B33" i="12" s="1"/>
  <c r="AO21" i="13"/>
  <c r="AL21" i="13"/>
  <c r="AL12" i="13"/>
  <c r="AO12" i="13"/>
  <c r="AO18" i="13"/>
  <c r="AL18" i="13"/>
  <c r="AO19" i="13"/>
  <c r="AL19" i="13"/>
  <c r="AO22" i="13"/>
  <c r="AL22" i="13"/>
  <c r="AO23" i="13"/>
  <c r="AL23" i="13"/>
  <c r="AO20" i="13"/>
  <c r="AL20" i="13"/>
  <c r="AO15" i="13"/>
  <c r="AL15" i="13"/>
  <c r="AO17" i="13"/>
  <c r="AL17" i="13"/>
  <c r="AO16" i="13"/>
  <c r="AL16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O15" i="11"/>
  <c r="G15" i="11"/>
  <c r="F15" i="13" s="1"/>
  <c r="C15" i="13"/>
  <c r="AA15" i="11"/>
  <c r="AB15" i="11"/>
  <c r="N15" i="11" s="1"/>
  <c r="B16" i="12"/>
  <c r="B21" i="13"/>
  <c r="AH21" i="13" s="1"/>
  <c r="C17" i="13"/>
  <c r="G17" i="11"/>
  <c r="F17" i="13" s="1"/>
  <c r="AB17" i="11"/>
  <c r="N17" i="11" s="1"/>
  <c r="O17" i="11"/>
  <c r="AA17" i="11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AB18" i="11"/>
  <c r="N18" i="11" s="1"/>
  <c r="C18" i="13"/>
  <c r="G18" i="11"/>
  <c r="F18" i="13" s="1"/>
  <c r="O18" i="11"/>
  <c r="AA18" i="1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O16" i="11"/>
  <c r="K16" i="11"/>
  <c r="J16" i="13" s="1"/>
  <c r="AB16" i="11"/>
  <c r="N16" i="11" s="1"/>
  <c r="AA16" i="1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B15" i="13"/>
  <c r="AE15" i="13" s="1"/>
  <c r="AA12" i="11"/>
  <c r="C12" i="13"/>
  <c r="O12" i="11"/>
  <c r="K12" i="11"/>
  <c r="J12" i="13" s="1"/>
  <c r="G12" i="11"/>
  <c r="F12" i="13" s="1"/>
  <c r="AB12" i="11"/>
  <c r="N12" i="11" s="1"/>
  <c r="B17" i="13"/>
  <c r="AF17" i="13" s="1"/>
  <c r="B16" i="13"/>
  <c r="AF16" i="13" s="1"/>
  <c r="AE66" i="6" l="1"/>
  <c r="AF66" i="6"/>
  <c r="AC66" i="6"/>
  <c r="AD66" i="6"/>
  <c r="AB66" i="6"/>
  <c r="E18" i="8"/>
  <c r="B30" i="12"/>
  <c r="F1" i="8"/>
  <c r="X261" i="12"/>
  <c r="AJ16" i="13"/>
  <c r="AN16" i="13"/>
  <c r="AM16" i="13"/>
  <c r="AJ17" i="13"/>
  <c r="AN17" i="13"/>
  <c r="AM17" i="13"/>
  <c r="AJ15" i="13"/>
  <c r="AN15" i="13"/>
  <c r="AM15" i="13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J18" i="13"/>
  <c r="AN18" i="13"/>
  <c r="AM18" i="13"/>
  <c r="AM12" i="13"/>
  <c r="AJ12" i="13"/>
  <c r="AJ21" i="13"/>
  <c r="AN21" i="13"/>
  <c r="AM21" i="13"/>
  <c r="AK16" i="13"/>
  <c r="AK17" i="13"/>
  <c r="AK15" i="13"/>
  <c r="AK20" i="13"/>
  <c r="AK23" i="13"/>
  <c r="AK22" i="13"/>
  <c r="AK19" i="13"/>
  <c r="AK18" i="13"/>
  <c r="AK12" i="13"/>
  <c r="AN12" i="13"/>
  <c r="AK21" i="13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X43" i="5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Y265" i="6"/>
  <c r="AV265" i="6"/>
  <c r="AZ265" i="6"/>
  <c r="AE18" i="13"/>
  <c r="AE20" i="13"/>
  <c r="AE22" i="13"/>
  <c r="AG265" i="6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C16" i="11"/>
  <c r="Z16" i="11"/>
  <c r="L16" i="13"/>
  <c r="W16" i="11"/>
  <c r="B22" i="12"/>
  <c r="B74" i="12"/>
  <c r="Q1" i="8"/>
  <c r="R3" i="8"/>
  <c r="G265" i="12"/>
  <c r="X265" i="5"/>
  <c r="X74" i="5" s="1"/>
  <c r="X62" i="5" s="1"/>
  <c r="AK265" i="6"/>
  <c r="AK15" i="6" s="1"/>
  <c r="Z15" i="6" s="1"/>
  <c r="AB265" i="6"/>
  <c r="AF265" i="6"/>
  <c r="AA263" i="5"/>
  <c r="AB263" i="5"/>
  <c r="C263" i="12"/>
  <c r="AO263" i="12"/>
  <c r="O263" i="12"/>
  <c r="M263" i="12"/>
  <c r="C18" i="11"/>
  <c r="Z18" i="11"/>
  <c r="W18" i="11"/>
  <c r="L18" i="13"/>
  <c r="O18" i="13"/>
  <c r="S18" i="13"/>
  <c r="U18" i="13"/>
  <c r="T18" i="13"/>
  <c r="R18" i="13"/>
  <c r="M18" i="13"/>
  <c r="K18" i="13"/>
  <c r="L19" i="13"/>
  <c r="W19" i="11"/>
  <c r="C19" i="11"/>
  <c r="Z19" i="11"/>
  <c r="AC12" i="13"/>
  <c r="AF12" i="13"/>
  <c r="W17" i="11"/>
  <c r="L17" i="13"/>
  <c r="C17" i="11"/>
  <c r="Z17" i="11"/>
  <c r="AD21" i="13"/>
  <c r="AF21" i="13"/>
  <c r="O15" i="13"/>
  <c r="U15" i="13"/>
  <c r="R15" i="13"/>
  <c r="S15" i="13"/>
  <c r="K15" i="13"/>
  <c r="T15" i="13"/>
  <c r="M15" i="13"/>
  <c r="L15" i="13"/>
  <c r="W15" i="11"/>
  <c r="C15" i="11"/>
  <c r="Z15" i="11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M16" i="13"/>
  <c r="U16" i="13"/>
  <c r="T16" i="13"/>
  <c r="O16" i="13"/>
  <c r="S16" i="13"/>
  <c r="R16" i="13"/>
  <c r="B17" i="12"/>
  <c r="B53" i="12"/>
  <c r="X53" i="5"/>
  <c r="I66" i="12"/>
  <c r="AM66" i="5"/>
  <c r="L66" i="5"/>
  <c r="Z66" i="5"/>
  <c r="G2" i="8"/>
  <c r="G1" i="8"/>
  <c r="I2" i="8" s="1"/>
  <c r="AM264" i="5"/>
  <c r="L264" i="5"/>
  <c r="I264" i="12"/>
  <c r="Z264" i="5"/>
  <c r="AC264" i="5"/>
  <c r="AI265" i="6"/>
  <c r="AI15" i="6" s="1"/>
  <c r="X15" i="6" s="1"/>
  <c r="AD265" i="6"/>
  <c r="C35" i="10"/>
  <c r="A16" i="10"/>
  <c r="A27" i="10"/>
  <c r="A48" i="9"/>
  <c r="A29" i="10"/>
  <c r="C55" i="10"/>
  <c r="C49" i="9"/>
  <c r="C63" i="10"/>
  <c r="A50" i="9"/>
  <c r="C22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C24" i="10"/>
  <c r="A62" i="9"/>
  <c r="C58" i="9"/>
  <c r="A28" i="10"/>
  <c r="C47" i="10"/>
  <c r="A31" i="10"/>
  <c r="C27" i="9"/>
  <c r="A59" i="9"/>
  <c r="A32" i="9"/>
  <c r="C35" i="9"/>
  <c r="C16" i="10"/>
  <c r="C39" i="9"/>
  <c r="A56" i="10"/>
  <c r="C31" i="10"/>
  <c r="C52" i="10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C24" i="9"/>
  <c r="A40" i="10"/>
  <c r="A41" i="10"/>
  <c r="A54" i="9"/>
  <c r="A20" i="10"/>
  <c r="C36" i="9"/>
  <c r="C23" i="10"/>
  <c r="A49" i="10"/>
  <c r="A58" i="10"/>
  <c r="A34" i="10"/>
  <c r="A41" i="9"/>
  <c r="A23" i="10"/>
  <c r="A39" i="9"/>
  <c r="A20" i="9"/>
  <c r="C51" i="9"/>
  <c r="C22" i="10"/>
  <c r="A28" i="9"/>
  <c r="A1" i="10"/>
  <c r="C45" i="9"/>
  <c r="C54" i="10"/>
  <c r="A38" i="10"/>
  <c r="A43" i="10"/>
  <c r="A44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C23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A17" i="10"/>
  <c r="A22" i="9"/>
  <c r="C61" i="9"/>
  <c r="A48" i="10"/>
  <c r="BG265" i="6"/>
  <c r="AU265" i="6"/>
  <c r="BD265" i="6"/>
  <c r="AJ265" i="6"/>
  <c r="AJ15" i="6" s="1"/>
  <c r="Y15" i="6" s="1"/>
  <c r="AM265" i="6"/>
  <c r="BE265" i="6"/>
  <c r="AO265" i="6"/>
  <c r="AE265" i="6"/>
  <c r="AC265" i="6"/>
  <c r="BB265" i="6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U17" i="13"/>
  <c r="R17" i="13"/>
  <c r="T17" i="13"/>
  <c r="M17" i="13"/>
  <c r="O17" i="13"/>
  <c r="S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AG53" i="6" l="1"/>
  <c r="AH53" i="6"/>
  <c r="AG43" i="6"/>
  <c r="AH43" i="6"/>
  <c r="AG32" i="6"/>
  <c r="AH32" i="6"/>
  <c r="Z62" i="5"/>
  <c r="L62" i="5"/>
  <c r="AC62" i="5"/>
  <c r="I62" i="12"/>
  <c r="AM62" i="5"/>
  <c r="I17" i="8"/>
  <c r="L17" i="8"/>
  <c r="AF53" i="6"/>
  <c r="AE53" i="6"/>
  <c r="I43" i="12"/>
  <c r="AO43" i="12" s="1"/>
  <c r="AD43" i="6"/>
  <c r="AC43" i="6"/>
  <c r="AB43" i="6"/>
  <c r="AE43" i="6"/>
  <c r="AF43" i="6"/>
  <c r="L32" i="5"/>
  <c r="C32" i="6" s="1"/>
  <c r="AC32" i="6"/>
  <c r="AE32" i="6"/>
  <c r="AB32" i="6"/>
  <c r="AF32" i="6"/>
  <c r="AD32" i="6"/>
  <c r="AC53" i="6"/>
  <c r="AD53" i="6"/>
  <c r="X51" i="5"/>
  <c r="AC51" i="5" s="1"/>
  <c r="AB53" i="6"/>
  <c r="X39" i="5"/>
  <c r="L43" i="5"/>
  <c r="C43" i="6" s="1"/>
  <c r="X33" i="5"/>
  <c r="AM32" i="5"/>
  <c r="AO66" i="12"/>
  <c r="X17" i="5"/>
  <c r="AM17" i="5" s="1"/>
  <c r="AB66" i="5"/>
  <c r="AM43" i="5"/>
  <c r="I32" i="12"/>
  <c r="C32" i="12" s="1"/>
  <c r="Z43" i="5"/>
  <c r="Z32" i="5"/>
  <c r="AH14" i="13"/>
  <c r="AE14" i="13"/>
  <c r="Y263" i="12"/>
  <c r="X263" i="12" s="1"/>
  <c r="W262" i="12"/>
  <c r="X262" i="12"/>
  <c r="L43" i="12"/>
  <c r="J43" i="12"/>
  <c r="D263" i="12"/>
  <c r="E263" i="6"/>
  <c r="C264" i="6"/>
  <c r="O264" i="5"/>
  <c r="P12" i="13"/>
  <c r="N12" i="13"/>
  <c r="D20" i="13"/>
  <c r="D15" i="13"/>
  <c r="D19" i="13"/>
  <c r="D18" i="13"/>
  <c r="L74" i="5"/>
  <c r="I74" i="12"/>
  <c r="AM74" i="5"/>
  <c r="Z74" i="5"/>
  <c r="AC74" i="5"/>
  <c r="D22" i="13"/>
  <c r="P23" i="13"/>
  <c r="N23" i="13"/>
  <c r="P17" i="13"/>
  <c r="N17" i="13"/>
  <c r="P19" i="13"/>
  <c r="N19" i="13"/>
  <c r="AB264" i="5"/>
  <c r="AA264" i="5"/>
  <c r="C264" i="12"/>
  <c r="M264" i="12"/>
  <c r="AO264" i="12"/>
  <c r="O264" i="12"/>
  <c r="C66" i="6"/>
  <c r="C66" i="12"/>
  <c r="J66" i="12"/>
  <c r="M66" i="12" s="1"/>
  <c r="L66" i="12"/>
  <c r="O66" i="12" s="1"/>
  <c r="AM53" i="5"/>
  <c r="L53" i="5"/>
  <c r="I53" i="12"/>
  <c r="AO53" i="12" s="1"/>
  <c r="Z53" i="5"/>
  <c r="N16" i="13"/>
  <c r="P16" i="13"/>
  <c r="D21" i="13"/>
  <c r="N22" i="13"/>
  <c r="P22" i="13"/>
  <c r="J32" i="12"/>
  <c r="L32" i="12"/>
  <c r="N20" i="13"/>
  <c r="P20" i="13"/>
  <c r="D23" i="13"/>
  <c r="P15" i="13"/>
  <c r="N15" i="13"/>
  <c r="D17" i="13"/>
  <c r="P18" i="13"/>
  <c r="N18" i="13"/>
  <c r="N263" i="12"/>
  <c r="L265" i="5"/>
  <c r="I265" i="12"/>
  <c r="AM265" i="5"/>
  <c r="Z265" i="5"/>
  <c r="AC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6" i="13"/>
  <c r="N21" i="13"/>
  <c r="P21" i="13"/>
  <c r="D12" i="13"/>
  <c r="V12" i="13"/>
  <c r="AG33" i="6" l="1"/>
  <c r="AG15" i="6" s="1"/>
  <c r="V15" i="6" s="1"/>
  <c r="AH33" i="6"/>
  <c r="AH15" i="6" s="1"/>
  <c r="W15" i="6" s="1"/>
  <c r="Y66" i="12"/>
  <c r="W66" i="12" s="1"/>
  <c r="O62" i="5"/>
  <c r="C62" i="6"/>
  <c r="N66" i="12"/>
  <c r="L62" i="12"/>
  <c r="J62" i="12"/>
  <c r="C62" i="12"/>
  <c r="E21" i="8"/>
  <c r="L20" i="8" s="1"/>
  <c r="E24" i="8" s="1"/>
  <c r="L23" i="8" s="1"/>
  <c r="R19" i="8"/>
  <c r="P17" i="8"/>
  <c r="O17" i="8"/>
  <c r="C43" i="12"/>
  <c r="M43" i="12"/>
  <c r="O43" i="12"/>
  <c r="X22" i="5"/>
  <c r="L22" i="5" s="1"/>
  <c r="C22" i="6" s="1"/>
  <c r="AD33" i="6"/>
  <c r="AD15" i="6" s="1"/>
  <c r="S15" i="6" s="1"/>
  <c r="AF33" i="6"/>
  <c r="AF15" i="6" s="1"/>
  <c r="U15" i="6" s="1"/>
  <c r="AB33" i="6"/>
  <c r="AB15" i="6" s="1"/>
  <c r="Q15" i="6" s="1"/>
  <c r="AC33" i="6"/>
  <c r="AC15" i="6" s="1"/>
  <c r="R15" i="6" s="1"/>
  <c r="AE33" i="6"/>
  <c r="AE15" i="6" s="1"/>
  <c r="T15" i="6" s="1"/>
  <c r="X30" i="5"/>
  <c r="I51" i="12"/>
  <c r="L51" i="12" s="1"/>
  <c r="Z51" i="5"/>
  <c r="L51" i="5"/>
  <c r="O51" i="5" s="1"/>
  <c r="AM51" i="5"/>
  <c r="X16" i="5"/>
  <c r="R14" i="8" s="1"/>
  <c r="X15" i="5"/>
  <c r="I15" i="12" s="1"/>
  <c r="I22" i="5"/>
  <c r="I23" i="5" s="1"/>
  <c r="L39" i="5"/>
  <c r="I39" i="12"/>
  <c r="AM39" i="5"/>
  <c r="Z39" i="5"/>
  <c r="AC39" i="5"/>
  <c r="Y43" i="12"/>
  <c r="Z33" i="5"/>
  <c r="AM33" i="5"/>
  <c r="I33" i="12"/>
  <c r="L33" i="5"/>
  <c r="R17" i="8"/>
  <c r="Z17" i="5"/>
  <c r="I17" i="12"/>
  <c r="C17" i="12" s="1"/>
  <c r="L17" i="5"/>
  <c r="C17" i="6" s="1"/>
  <c r="AB53" i="5"/>
  <c r="AB43" i="5"/>
  <c r="AB32" i="5"/>
  <c r="AO32" i="12"/>
  <c r="M32" i="12"/>
  <c r="O32" i="12"/>
  <c r="W263" i="12"/>
  <c r="U263" i="12" s="1"/>
  <c r="K32" i="12"/>
  <c r="K43" i="12"/>
  <c r="Y264" i="12"/>
  <c r="X264" i="12" s="1"/>
  <c r="AA265" i="5"/>
  <c r="AA74" i="5" s="1"/>
  <c r="AB265" i="5"/>
  <c r="C265" i="12"/>
  <c r="AO265" i="12"/>
  <c r="O265" i="12"/>
  <c r="M265" i="12"/>
  <c r="C53" i="12"/>
  <c r="J53" i="12"/>
  <c r="M53" i="12" s="1"/>
  <c r="L53" i="12"/>
  <c r="O53" i="12" s="1"/>
  <c r="C74" i="12"/>
  <c r="J74" i="12"/>
  <c r="L74" i="12"/>
  <c r="E264" i="6"/>
  <c r="D264" i="12"/>
  <c r="C265" i="6"/>
  <c r="O265" i="5"/>
  <c r="C53" i="6"/>
  <c r="K66" i="12"/>
  <c r="N264" i="12"/>
  <c r="C74" i="6"/>
  <c r="O74" i="5"/>
  <c r="T262" i="12"/>
  <c r="U262" i="12"/>
  <c r="V262" i="12"/>
  <c r="X66" i="12" l="1"/>
  <c r="K62" i="12"/>
  <c r="D62" i="12"/>
  <c r="E62" i="6"/>
  <c r="P20" i="8"/>
  <c r="N43" i="12"/>
  <c r="O20" i="8"/>
  <c r="R22" i="8"/>
  <c r="R23" i="8"/>
  <c r="F24" i="8" s="1"/>
  <c r="R20" i="8"/>
  <c r="F21" i="8" s="1"/>
  <c r="I22" i="12"/>
  <c r="C22" i="12" s="1"/>
  <c r="Z22" i="5"/>
  <c r="AM22" i="5"/>
  <c r="Q73" i="10"/>
  <c r="Q72" i="10" s="1"/>
  <c r="I30" i="12"/>
  <c r="AM30" i="5"/>
  <c r="L30" i="5"/>
  <c r="Z30" i="5"/>
  <c r="AC73" i="10"/>
  <c r="AC72" i="10" s="1"/>
  <c r="Y73" i="10"/>
  <c r="Y72" i="10" s="1"/>
  <c r="J51" i="12"/>
  <c r="K51" i="12" s="1"/>
  <c r="C51" i="12"/>
  <c r="I24" i="5"/>
  <c r="O23" i="5"/>
  <c r="O22" i="5"/>
  <c r="D22" i="12" s="1"/>
  <c r="C51" i="6"/>
  <c r="S73" i="10"/>
  <c r="AA73" i="10"/>
  <c r="M73" i="10"/>
  <c r="M72" i="10" s="1"/>
  <c r="K73" i="10"/>
  <c r="K72" i="10" s="1"/>
  <c r="Y53" i="12"/>
  <c r="X53" i="12" s="1"/>
  <c r="D51" i="12"/>
  <c r="E51" i="6"/>
  <c r="AM15" i="5"/>
  <c r="I73" i="10"/>
  <c r="I71" i="10" s="1"/>
  <c r="I70" i="10" s="1"/>
  <c r="Y9" i="10" s="1"/>
  <c r="Z15" i="5"/>
  <c r="U73" i="10"/>
  <c r="W73" i="10"/>
  <c r="O73" i="10"/>
  <c r="O72" i="10" s="1"/>
  <c r="O14" i="11"/>
  <c r="L14" i="13" s="1"/>
  <c r="AE73" i="10"/>
  <c r="AE72" i="10" s="1"/>
  <c r="AM16" i="5"/>
  <c r="I16" i="12"/>
  <c r="C16" i="12" s="1"/>
  <c r="O17" i="5"/>
  <c r="D17" i="12" s="1"/>
  <c r="L16" i="5"/>
  <c r="C16" i="6" s="1"/>
  <c r="Z16" i="5"/>
  <c r="W264" i="12"/>
  <c r="V264" i="12" s="1"/>
  <c r="F18" i="8"/>
  <c r="F17" i="8"/>
  <c r="L17" i="12"/>
  <c r="V263" i="12"/>
  <c r="T263" i="12"/>
  <c r="J17" i="12"/>
  <c r="L39" i="12"/>
  <c r="J39" i="12"/>
  <c r="C39" i="12"/>
  <c r="C39" i="6"/>
  <c r="O39" i="5"/>
  <c r="L33" i="12"/>
  <c r="J33" i="12"/>
  <c r="C33" i="12"/>
  <c r="W43" i="12"/>
  <c r="X43" i="12"/>
  <c r="C33" i="6"/>
  <c r="N53" i="12"/>
  <c r="M74" i="12"/>
  <c r="M15" i="12"/>
  <c r="J15" i="12" s="1"/>
  <c r="O23" i="8"/>
  <c r="E27" i="8"/>
  <c r="R25" i="8"/>
  <c r="P23" i="8"/>
  <c r="M17" i="12"/>
  <c r="N32" i="12"/>
  <c r="Y32" i="12"/>
  <c r="K74" i="12"/>
  <c r="Y265" i="12"/>
  <c r="W265" i="12" s="1"/>
  <c r="T66" i="12"/>
  <c r="V66" i="12"/>
  <c r="U66" i="12"/>
  <c r="AB74" i="5"/>
  <c r="F15" i="8"/>
  <c r="F14" i="8"/>
  <c r="D74" i="12"/>
  <c r="E74" i="6"/>
  <c r="D265" i="12"/>
  <c r="E265" i="6"/>
  <c r="AO74" i="12"/>
  <c r="K53" i="12"/>
  <c r="N265" i="12"/>
  <c r="O74" i="12"/>
  <c r="L22" i="12" l="1"/>
  <c r="J22" i="12"/>
  <c r="F23" i="8"/>
  <c r="O15" i="12"/>
  <c r="N15" i="12" s="1"/>
  <c r="O62" i="12"/>
  <c r="O51" i="12" s="1"/>
  <c r="AO62" i="12"/>
  <c r="AO51" i="12" s="1"/>
  <c r="AB33" i="5"/>
  <c r="AB30" i="5" s="1"/>
  <c r="AB62" i="5"/>
  <c r="M39" i="12"/>
  <c r="M62" i="12"/>
  <c r="M51" i="12" s="1"/>
  <c r="F20" i="8"/>
  <c r="S71" i="10"/>
  <c r="S70" i="10" s="1"/>
  <c r="H20" i="8"/>
  <c r="E22" i="6"/>
  <c r="O30" i="5"/>
  <c r="H23" i="8" s="1"/>
  <c r="C30" i="6"/>
  <c r="L30" i="12"/>
  <c r="J30" i="12"/>
  <c r="C30" i="12"/>
  <c r="Y71" i="10"/>
  <c r="Y70" i="10" s="1"/>
  <c r="AA71" i="10"/>
  <c r="AA70" i="10" s="1"/>
  <c r="U71" i="10"/>
  <c r="U70" i="10" s="1"/>
  <c r="I25" i="5"/>
  <c r="O24" i="5"/>
  <c r="D23" i="12"/>
  <c r="E23" i="6"/>
  <c r="U264" i="12"/>
  <c r="S72" i="10"/>
  <c r="AA72" i="10"/>
  <c r="J16" i="12"/>
  <c r="AC71" i="10"/>
  <c r="AC70" i="10" s="1"/>
  <c r="M71" i="10"/>
  <c r="M70" i="10" s="1"/>
  <c r="C14" i="11"/>
  <c r="W14" i="11"/>
  <c r="O24" i="11"/>
  <c r="L16" i="12"/>
  <c r="I72" i="10"/>
  <c r="AE9" i="10" s="1"/>
  <c r="T264" i="12"/>
  <c r="K71" i="10"/>
  <c r="K70" i="10" s="1"/>
  <c r="U72" i="10"/>
  <c r="W53" i="12"/>
  <c r="U53" i="12" s="1"/>
  <c r="AB51" i="5"/>
  <c r="AE71" i="10"/>
  <c r="AE70" i="10" s="1"/>
  <c r="O16" i="5"/>
  <c r="E16" i="6" s="1"/>
  <c r="Q71" i="10"/>
  <c r="Q70" i="10" s="1"/>
  <c r="E17" i="6"/>
  <c r="W71" i="10"/>
  <c r="W70" i="10" s="1"/>
  <c r="H17" i="8"/>
  <c r="W72" i="10"/>
  <c r="O71" i="10"/>
  <c r="O70" i="10" s="1"/>
  <c r="K17" i="12"/>
  <c r="AB39" i="5"/>
  <c r="AO33" i="12"/>
  <c r="AO16" i="12" s="1"/>
  <c r="AO39" i="12"/>
  <c r="K39" i="12"/>
  <c r="H26" i="8"/>
  <c r="E39" i="6"/>
  <c r="D39" i="12"/>
  <c r="O39" i="12"/>
  <c r="V43" i="12"/>
  <c r="T43" i="12"/>
  <c r="U43" i="12"/>
  <c r="O33" i="12"/>
  <c r="M33" i="12"/>
  <c r="K33" i="12"/>
  <c r="AB17" i="5"/>
  <c r="AB22" i="5"/>
  <c r="AB16" i="5"/>
  <c r="AB14" i="11" s="1"/>
  <c r="L15" i="12"/>
  <c r="K15" i="12" s="1"/>
  <c r="I26" i="8"/>
  <c r="R26" i="8"/>
  <c r="L26" i="8"/>
  <c r="N74" i="12"/>
  <c r="O17" i="12"/>
  <c r="N17" i="12" s="1"/>
  <c r="AO17" i="12"/>
  <c r="W32" i="12"/>
  <c r="X32" i="12"/>
  <c r="X265" i="12"/>
  <c r="V265" i="12"/>
  <c r="U265" i="12"/>
  <c r="T265" i="12"/>
  <c r="L28" i="13"/>
  <c r="V14" i="13"/>
  <c r="D14" i="13"/>
  <c r="Y74" i="12"/>
  <c r="K22" i="12" l="1"/>
  <c r="AB15" i="5"/>
  <c r="N10" i="12"/>
  <c r="N39" i="12"/>
  <c r="Y62" i="12"/>
  <c r="N62" i="12"/>
  <c r="I26" i="5"/>
  <c r="O25" i="5"/>
  <c r="AG14" i="13"/>
  <c r="AD14" i="13"/>
  <c r="K30" i="12"/>
  <c r="M22" i="12"/>
  <c r="M30" i="12"/>
  <c r="O16" i="12"/>
  <c r="Y16" i="12" s="1"/>
  <c r="X16" i="12" s="1"/>
  <c r="O30" i="12"/>
  <c r="AO22" i="12"/>
  <c r="AO30" i="12"/>
  <c r="E30" i="6"/>
  <c r="D30" i="12"/>
  <c r="T53" i="12"/>
  <c r="E24" i="6"/>
  <c r="D24" i="12"/>
  <c r="K16" i="12"/>
  <c r="AA7" i="11"/>
  <c r="V53" i="12"/>
  <c r="O25" i="11"/>
  <c r="H14" i="8"/>
  <c r="D16" i="12"/>
  <c r="N51" i="12"/>
  <c r="Y51" i="12"/>
  <c r="O22" i="12"/>
  <c r="M16" i="12"/>
  <c r="AL14" i="13" s="1"/>
  <c r="M14" i="13" s="1"/>
  <c r="M28" i="13" s="1"/>
  <c r="M24" i="13" s="1"/>
  <c r="Y39" i="12"/>
  <c r="N33" i="12"/>
  <c r="P26" i="8"/>
  <c r="Y33" i="12"/>
  <c r="O26" i="8"/>
  <c r="Y17" i="12"/>
  <c r="W17" i="12" s="1"/>
  <c r="E30" i="8"/>
  <c r="R28" i="8"/>
  <c r="F26" i="8"/>
  <c r="F27" i="8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N14" i="11"/>
  <c r="N24" i="11" s="1"/>
  <c r="AB24" i="11"/>
  <c r="AB7" i="11" s="1"/>
  <c r="W74" i="12"/>
  <c r="X74" i="12"/>
  <c r="D33" i="14"/>
  <c r="L24" i="13"/>
  <c r="W62" i="12" l="1"/>
  <c r="X62" i="12"/>
  <c r="Y30" i="12"/>
  <c r="W30" i="12" s="1"/>
  <c r="Y22" i="12"/>
  <c r="W22" i="12" s="1"/>
  <c r="U22" i="12" s="1"/>
  <c r="I27" i="5"/>
  <c r="O26" i="5"/>
  <c r="D25" i="12"/>
  <c r="E25" i="6"/>
  <c r="N30" i="12"/>
  <c r="AN14" i="13"/>
  <c r="U14" i="13" s="1"/>
  <c r="AD4" i="13" s="1"/>
  <c r="AO14" i="13"/>
  <c r="O14" i="13" s="1"/>
  <c r="O28" i="13" s="1"/>
  <c r="Z3" i="11"/>
  <c r="AA3" i="11" s="1"/>
  <c r="AA65" i="5" s="1"/>
  <c r="W51" i="12"/>
  <c r="X51" i="12"/>
  <c r="N22" i="12"/>
  <c r="AK14" i="13"/>
  <c r="S14" i="13" s="1"/>
  <c r="M27" i="13" s="1"/>
  <c r="N16" i="12"/>
  <c r="O29" i="13"/>
  <c r="X39" i="12"/>
  <c r="W39" i="12"/>
  <c r="W33" i="12"/>
  <c r="X33" i="12"/>
  <c r="W16" i="12"/>
  <c r="T16" i="12" s="1"/>
  <c r="X17" i="12"/>
  <c r="L29" i="8"/>
  <c r="H29" i="8"/>
  <c r="I29" i="8"/>
  <c r="R29" i="8"/>
  <c r="F29" i="8" s="1"/>
  <c r="U17" i="12"/>
  <c r="V17" i="12"/>
  <c r="T17" i="12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N25" i="11"/>
  <c r="L27" i="13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AA68" i="5" l="1"/>
  <c r="AA67" i="5"/>
  <c r="AA64" i="5"/>
  <c r="AA66" i="5"/>
  <c r="AA44" i="5"/>
  <c r="AA63" i="5"/>
  <c r="U62" i="12"/>
  <c r="T62" i="12"/>
  <c r="V62" i="12"/>
  <c r="X30" i="12"/>
  <c r="X22" i="12"/>
  <c r="AA42" i="5"/>
  <c r="AA43" i="5"/>
  <c r="AA27" i="5"/>
  <c r="AA31" i="5"/>
  <c r="AA34" i="5"/>
  <c r="AA32" i="5"/>
  <c r="AA33" i="5"/>
  <c r="I28" i="5"/>
  <c r="I29" i="5" s="1"/>
  <c r="I30" i="5" s="1"/>
  <c r="I31" i="5" s="1"/>
  <c r="O27" i="5"/>
  <c r="AA25" i="5"/>
  <c r="AA26" i="5"/>
  <c r="E26" i="6"/>
  <c r="D26" i="12"/>
  <c r="P14" i="13"/>
  <c r="N14" i="13"/>
  <c r="K6" i="14" s="1"/>
  <c r="L6" i="14" s="1"/>
  <c r="U30" i="12"/>
  <c r="T30" i="12"/>
  <c r="V30" i="12"/>
  <c r="AA55" i="5"/>
  <c r="AA19" i="5"/>
  <c r="AD23" i="11"/>
  <c r="AE23" i="11" s="1"/>
  <c r="M23" i="11" s="1"/>
  <c r="L23" i="11" s="1"/>
  <c r="AD21" i="11"/>
  <c r="AD17" i="11"/>
  <c r="AD14" i="11"/>
  <c r="AA23" i="5"/>
  <c r="AA52" i="5"/>
  <c r="AA41" i="5"/>
  <c r="AA54" i="5"/>
  <c r="AD15" i="11"/>
  <c r="AA53" i="5"/>
  <c r="AD16" i="11"/>
  <c r="AD12" i="11"/>
  <c r="AD19" i="11"/>
  <c r="AA40" i="5"/>
  <c r="AA56" i="5"/>
  <c r="AD18" i="11"/>
  <c r="AA18" i="5"/>
  <c r="AD20" i="11"/>
  <c r="AD22" i="11"/>
  <c r="AA24" i="5"/>
  <c r="V22" i="12"/>
  <c r="T22" i="12"/>
  <c r="V51" i="12"/>
  <c r="U51" i="12"/>
  <c r="T51" i="12"/>
  <c r="U16" i="12"/>
  <c r="V16" i="12"/>
  <c r="V39" i="12"/>
  <c r="U39" i="12"/>
  <c r="T39" i="12"/>
  <c r="O29" i="8"/>
  <c r="V33" i="12"/>
  <c r="U33" i="12"/>
  <c r="T33" i="12"/>
  <c r="F30" i="8"/>
  <c r="F33" i="14"/>
  <c r="N28" i="13"/>
  <c r="AE4" i="13" s="1"/>
  <c r="O27" i="13" s="1"/>
  <c r="N27" i="13" s="1"/>
  <c r="AD6" i="13"/>
  <c r="P24" i="13"/>
  <c r="O24" i="13"/>
  <c r="P29" i="8"/>
  <c r="E33" i="8"/>
  <c r="R31" i="8"/>
  <c r="D32" i="14"/>
  <c r="AD27" i="13"/>
  <c r="AC27" i="13"/>
  <c r="AA62" i="5" l="1"/>
  <c r="AA51" i="5" s="1"/>
  <c r="I32" i="5"/>
  <c r="O31" i="5"/>
  <c r="AA30" i="5"/>
  <c r="D27" i="12"/>
  <c r="E27" i="6"/>
  <c r="AA17" i="5"/>
  <c r="AE20" i="11"/>
  <c r="M20" i="11" s="1"/>
  <c r="L20" i="11" s="1"/>
  <c r="AA22" i="5"/>
  <c r="AE12" i="11"/>
  <c r="M12" i="11" s="1"/>
  <c r="L12" i="11" s="1"/>
  <c r="AA15" i="5"/>
  <c r="AA39" i="5"/>
  <c r="AE19" i="11"/>
  <c r="M19" i="11" s="1"/>
  <c r="L19" i="11" s="1"/>
  <c r="AE14" i="11"/>
  <c r="AE21" i="11"/>
  <c r="M21" i="11" s="1"/>
  <c r="L21" i="11" s="1"/>
  <c r="AE22" i="11"/>
  <c r="M22" i="11" s="1"/>
  <c r="L22" i="11" s="1"/>
  <c r="AA16" i="5"/>
  <c r="AE17" i="11"/>
  <c r="M17" i="11" s="1"/>
  <c r="L17" i="11" s="1"/>
  <c r="AE18" i="11"/>
  <c r="M18" i="11" s="1"/>
  <c r="L18" i="11" s="1"/>
  <c r="AE15" i="11"/>
  <c r="M15" i="11" s="1"/>
  <c r="L15" i="11" s="1"/>
  <c r="AE16" i="11"/>
  <c r="M16" i="11" s="1"/>
  <c r="L16" i="11" s="1"/>
  <c r="F32" i="14"/>
  <c r="E33" i="14"/>
  <c r="N24" i="13"/>
  <c r="E34" i="14"/>
  <c r="F34" i="14"/>
  <c r="AE6" i="13"/>
  <c r="I32" i="8"/>
  <c r="R32" i="8"/>
  <c r="F32" i="8" s="1"/>
  <c r="L32" i="8"/>
  <c r="H32" i="8"/>
  <c r="E32" i="14"/>
  <c r="E31" i="6" l="1"/>
  <c r="D31" i="12"/>
  <c r="I33" i="5"/>
  <c r="O32" i="5"/>
  <c r="O32" i="8"/>
  <c r="AM14" i="13"/>
  <c r="AJ14" i="13"/>
  <c r="AA14" i="11"/>
  <c r="AF14" i="13"/>
  <c r="AC14" i="13"/>
  <c r="F33" i="8"/>
  <c r="P32" i="8"/>
  <c r="R34" i="8"/>
  <c r="E36" i="8"/>
  <c r="E32" i="6" l="1"/>
  <c r="D32" i="12"/>
  <c r="I34" i="5"/>
  <c r="O33" i="5"/>
  <c r="R14" i="13"/>
  <c r="M26" i="13" s="1"/>
  <c r="M25" i="13" s="1"/>
  <c r="T14" i="13"/>
  <c r="AD3" i="13" s="1"/>
  <c r="AD2" i="13" s="1"/>
  <c r="M14" i="11"/>
  <c r="AA24" i="11"/>
  <c r="Z14" i="11"/>
  <c r="Z24" i="11" s="1"/>
  <c r="I35" i="8"/>
  <c r="H35" i="8"/>
  <c r="R35" i="8"/>
  <c r="F36" i="8" s="1"/>
  <c r="L35" i="8"/>
  <c r="P35" i="8" l="1"/>
  <c r="M17" i="8"/>
  <c r="M29" i="8"/>
  <c r="M20" i="8"/>
  <c r="M26" i="8"/>
  <c r="M23" i="8"/>
  <c r="M14" i="8"/>
  <c r="Q14" i="8" s="1"/>
  <c r="D33" i="12"/>
  <c r="E33" i="6"/>
  <c r="I35" i="5"/>
  <c r="I36" i="5" s="1"/>
  <c r="I37" i="5" s="1"/>
  <c r="I38" i="5" s="1"/>
  <c r="I39" i="5" s="1"/>
  <c r="I40" i="5" s="1"/>
  <c r="O34" i="5"/>
  <c r="AE3" i="13"/>
  <c r="O26" i="13" s="1"/>
  <c r="L14" i="11"/>
  <c r="L24" i="11" s="1"/>
  <c r="M24" i="11"/>
  <c r="O35" i="8"/>
  <c r="F35" i="8"/>
  <c r="R37" i="8"/>
  <c r="M32" i="8"/>
  <c r="E39" i="8"/>
  <c r="G36" i="8"/>
  <c r="G35" i="8"/>
  <c r="I36" i="8" s="1"/>
  <c r="G15" i="8" l="1"/>
  <c r="C14" i="8"/>
  <c r="G14" i="8"/>
  <c r="I15" i="8" s="1"/>
  <c r="B14" i="8"/>
  <c r="E16" i="8"/>
  <c r="I41" i="5"/>
  <c r="O40" i="5"/>
  <c r="E34" i="6"/>
  <c r="D34" i="12"/>
  <c r="AE2" i="13"/>
  <c r="L26" i="13"/>
  <c r="M25" i="11"/>
  <c r="M10" i="11"/>
  <c r="N10" i="13" s="1"/>
  <c r="L10" i="11"/>
  <c r="M10" i="13" s="1"/>
  <c r="L25" i="11"/>
  <c r="L25" i="13"/>
  <c r="D30" i="14" s="1"/>
  <c r="F31" i="14"/>
  <c r="N26" i="13"/>
  <c r="E31" i="14" s="1"/>
  <c r="O25" i="13"/>
  <c r="H38" i="8"/>
  <c r="L38" i="8"/>
  <c r="N38" i="8" s="1"/>
  <c r="I38" i="8"/>
  <c r="R38" i="8"/>
  <c r="F39" i="8" s="1"/>
  <c r="I42" i="5" l="1"/>
  <c r="O41" i="5"/>
  <c r="D40" i="12"/>
  <c r="E40" i="6"/>
  <c r="G9" i="11"/>
  <c r="N25" i="13"/>
  <c r="E30" i="14" s="1"/>
  <c r="F30" i="14"/>
  <c r="AD26" i="13"/>
  <c r="AC26" i="13"/>
  <c r="D31" i="14"/>
  <c r="P38" i="8"/>
  <c r="F38" i="8"/>
  <c r="O38" i="8"/>
  <c r="R40" i="8"/>
  <c r="M35" i="8"/>
  <c r="E42" i="8"/>
  <c r="G39" i="8"/>
  <c r="G38" i="8"/>
  <c r="I39" i="8" s="1"/>
  <c r="I43" i="5" l="1"/>
  <c r="O42" i="5"/>
  <c r="D41" i="12"/>
  <c r="E41" i="6"/>
  <c r="L41" i="8"/>
  <c r="O41" i="8" s="1"/>
  <c r="H41" i="8"/>
  <c r="I41" i="8"/>
  <c r="R41" i="8"/>
  <c r="F42" i="8" s="1"/>
  <c r="I44" i="5" l="1"/>
  <c r="O43" i="5"/>
  <c r="E42" i="6"/>
  <c r="D42" i="12"/>
  <c r="N41" i="8"/>
  <c r="P41" i="8"/>
  <c r="F41" i="8"/>
  <c r="G41" i="8"/>
  <c r="I42" i="8" s="1"/>
  <c r="G42" i="8"/>
  <c r="R43" i="8"/>
  <c r="M38" i="8"/>
  <c r="Q38" i="8" s="1"/>
  <c r="E45" i="8"/>
  <c r="I45" i="5" l="1"/>
  <c r="I46" i="5" s="1"/>
  <c r="I47" i="5" s="1"/>
  <c r="I48" i="5" s="1"/>
  <c r="I49" i="5" s="1"/>
  <c r="I50" i="5" s="1"/>
  <c r="I51" i="5" s="1"/>
  <c r="I52" i="5" s="1"/>
  <c r="I53" i="5" s="1"/>
  <c r="I54" i="5" s="1"/>
  <c r="O44" i="5"/>
  <c r="D43" i="12"/>
  <c r="E43" i="6"/>
  <c r="AC40" i="8"/>
  <c r="AC38" i="8" s="1"/>
  <c r="E40" i="8"/>
  <c r="AB40" i="8"/>
  <c r="AB38" i="8" s="1"/>
  <c r="C38" i="8"/>
  <c r="W40" i="8"/>
  <c r="W38" i="8" s="1"/>
  <c r="T40" i="8"/>
  <c r="T38" i="8" s="1"/>
  <c r="Y40" i="8"/>
  <c r="Y38" i="8" s="1"/>
  <c r="V40" i="8"/>
  <c r="V38" i="8" s="1"/>
  <c r="D40" i="8"/>
  <c r="D38" i="8" s="1"/>
  <c r="Z40" i="8"/>
  <c r="Z38" i="8" s="1"/>
  <c r="AE40" i="8"/>
  <c r="AE38" i="8" s="1"/>
  <c r="U40" i="8"/>
  <c r="U38" i="8" s="1"/>
  <c r="AA40" i="8"/>
  <c r="AA38" i="8" s="1"/>
  <c r="X40" i="8"/>
  <c r="X38" i="8" s="1"/>
  <c r="B38" i="8"/>
  <c r="AD40" i="8"/>
  <c r="AD38" i="8" s="1"/>
  <c r="H44" i="8"/>
  <c r="I44" i="8"/>
  <c r="R44" i="8"/>
  <c r="F45" i="8" s="1"/>
  <c r="L44" i="8"/>
  <c r="O44" i="8" s="1"/>
  <c r="O52" i="5" l="1"/>
  <c r="E52" i="6" s="1"/>
  <c r="D44" i="12"/>
  <c r="E44" i="6"/>
  <c r="I55" i="5"/>
  <c r="O54" i="5"/>
  <c r="O53" i="5"/>
  <c r="E53" i="6" s="1"/>
  <c r="N44" i="8"/>
  <c r="M41" i="8"/>
  <c r="Q41" i="8" s="1"/>
  <c r="R46" i="8"/>
  <c r="E48" i="8"/>
  <c r="F44" i="8"/>
  <c r="G44" i="8"/>
  <c r="I45" i="8" s="1"/>
  <c r="G45" i="8"/>
  <c r="P44" i="8"/>
  <c r="D52" i="12" l="1"/>
  <c r="D53" i="12"/>
  <c r="I56" i="5"/>
  <c r="O55" i="5"/>
  <c r="D54" i="12"/>
  <c r="E54" i="6"/>
  <c r="L47" i="8"/>
  <c r="O47" i="8" s="1"/>
  <c r="H47" i="8"/>
  <c r="R47" i="8"/>
  <c r="F48" i="8" s="1"/>
  <c r="I47" i="8"/>
  <c r="V43" i="8"/>
  <c r="V41" i="8" s="1"/>
  <c r="AC43" i="8"/>
  <c r="AC41" i="8" s="1"/>
  <c r="X43" i="8"/>
  <c r="X41" i="8" s="1"/>
  <c r="AD43" i="8"/>
  <c r="AD41" i="8" s="1"/>
  <c r="W43" i="8"/>
  <c r="W41" i="8" s="1"/>
  <c r="Y43" i="8"/>
  <c r="Y41" i="8" s="1"/>
  <c r="E43" i="8"/>
  <c r="U43" i="8"/>
  <c r="U41" i="8" s="1"/>
  <c r="C41" i="8"/>
  <c r="Z43" i="8"/>
  <c r="Z41" i="8" s="1"/>
  <c r="AE43" i="8"/>
  <c r="AE41" i="8" s="1"/>
  <c r="AB43" i="8"/>
  <c r="AB41" i="8" s="1"/>
  <c r="AA43" i="8"/>
  <c r="AA41" i="8" s="1"/>
  <c r="D43" i="8"/>
  <c r="D41" i="8" s="1"/>
  <c r="B41" i="8"/>
  <c r="T43" i="8"/>
  <c r="T41" i="8" s="1"/>
  <c r="I57" i="5" l="1"/>
  <c r="I58" i="5" s="1"/>
  <c r="I59" i="5" s="1"/>
  <c r="I60" i="5" s="1"/>
  <c r="I61" i="5" s="1"/>
  <c r="I62" i="5" s="1"/>
  <c r="I63" i="5" s="1"/>
  <c r="O56" i="5"/>
  <c r="D55" i="12"/>
  <c r="E55" i="6"/>
  <c r="P47" i="8"/>
  <c r="N47" i="8"/>
  <c r="R49" i="8"/>
  <c r="M44" i="8"/>
  <c r="Q44" i="8" s="1"/>
  <c r="E51" i="8"/>
  <c r="G48" i="8"/>
  <c r="G47" i="8"/>
  <c r="I48" i="8" s="1"/>
  <c r="F47" i="8"/>
  <c r="I64" i="5" l="1"/>
  <c r="O63" i="5"/>
  <c r="E56" i="6"/>
  <c r="D56" i="12"/>
  <c r="V46" i="8"/>
  <c r="V44" i="8" s="1"/>
  <c r="AB46" i="8"/>
  <c r="AB44" i="8" s="1"/>
  <c r="E46" i="8"/>
  <c r="C44" i="8"/>
  <c r="AA46" i="8"/>
  <c r="AA44" i="8" s="1"/>
  <c r="Y46" i="8"/>
  <c r="Y44" i="8" s="1"/>
  <c r="AD46" i="8"/>
  <c r="AD44" i="8" s="1"/>
  <c r="W46" i="8"/>
  <c r="W44" i="8" s="1"/>
  <c r="AC46" i="8"/>
  <c r="AC44" i="8" s="1"/>
  <c r="D46" i="8"/>
  <c r="D44" i="8" s="1"/>
  <c r="Z46" i="8"/>
  <c r="Z44" i="8" s="1"/>
  <c r="U46" i="8"/>
  <c r="U44" i="8" s="1"/>
  <c r="AE46" i="8"/>
  <c r="AE44" i="8" s="1"/>
  <c r="B44" i="8"/>
  <c r="T46" i="8"/>
  <c r="T44" i="8" s="1"/>
  <c r="X46" i="8"/>
  <c r="X44" i="8" s="1"/>
  <c r="L50" i="8"/>
  <c r="M47" i="8" s="1"/>
  <c r="Q47" i="8" s="1"/>
  <c r="R50" i="8"/>
  <c r="F50" i="8" s="1"/>
  <c r="I50" i="8"/>
  <c r="H50" i="8"/>
  <c r="I65" i="5" l="1"/>
  <c r="O64" i="5"/>
  <c r="E63" i="6"/>
  <c r="D63" i="12"/>
  <c r="N50" i="8"/>
  <c r="P50" i="8"/>
  <c r="O50" i="8"/>
  <c r="B47" i="8"/>
  <c r="C47" i="8"/>
  <c r="E49" i="8"/>
  <c r="F51" i="8"/>
  <c r="G50" i="8"/>
  <c r="I51" i="8" s="1"/>
  <c r="G51" i="8"/>
  <c r="U49" i="8"/>
  <c r="U47" i="8" s="1"/>
  <c r="AC49" i="8"/>
  <c r="AC47" i="8" s="1"/>
  <c r="Z49" i="8"/>
  <c r="Z47" i="8" s="1"/>
  <c r="V49" i="8"/>
  <c r="V47" i="8" s="1"/>
  <c r="AD49" i="8"/>
  <c r="AD47" i="8" s="1"/>
  <c r="AB49" i="8"/>
  <c r="AB47" i="8" s="1"/>
  <c r="Y49" i="8"/>
  <c r="Y47" i="8" s="1"/>
  <c r="D49" i="8"/>
  <c r="D47" i="8" s="1"/>
  <c r="AA49" i="8"/>
  <c r="AA47" i="8" s="1"/>
  <c r="W49" i="8"/>
  <c r="W47" i="8" s="1"/>
  <c r="T49" i="8"/>
  <c r="T47" i="8" s="1"/>
  <c r="X49" i="8"/>
  <c r="X47" i="8" s="1"/>
  <c r="AE49" i="8"/>
  <c r="AE47" i="8" s="1"/>
  <c r="R52" i="8"/>
  <c r="E54" i="8"/>
  <c r="I66" i="5" l="1"/>
  <c r="I67" i="5" s="1"/>
  <c r="O65" i="5"/>
  <c r="D64" i="12"/>
  <c r="E64" i="6"/>
  <c r="I53" i="8"/>
  <c r="L53" i="8"/>
  <c r="M50" i="8" s="1"/>
  <c r="Q50" i="8" s="1"/>
  <c r="C50" i="8" s="1"/>
  <c r="H53" i="8"/>
  <c r="R53" i="8"/>
  <c r="F54" i="8" s="1"/>
  <c r="O66" i="5" l="1"/>
  <c r="D66" i="12" s="1"/>
  <c r="D65" i="12"/>
  <c r="E65" i="6"/>
  <c r="I68" i="5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67" i="5"/>
  <c r="N53" i="8"/>
  <c r="P53" i="8"/>
  <c r="O53" i="8"/>
  <c r="E52" i="8"/>
  <c r="AD52" i="8"/>
  <c r="AD50" i="8" s="1"/>
  <c r="Z52" i="8"/>
  <c r="Z50" i="8" s="1"/>
  <c r="D52" i="8"/>
  <c r="D50" i="8" s="1"/>
  <c r="B50" i="8"/>
  <c r="X52" i="8"/>
  <c r="X50" i="8" s="1"/>
  <c r="W52" i="8"/>
  <c r="W50" i="8" s="1"/>
  <c r="AB52" i="8"/>
  <c r="AB50" i="8" s="1"/>
  <c r="AE52" i="8"/>
  <c r="AE50" i="8" s="1"/>
  <c r="F53" i="8"/>
  <c r="V52" i="8"/>
  <c r="V50" i="8" s="1"/>
  <c r="T52" i="8"/>
  <c r="T50" i="8" s="1"/>
  <c r="AA52" i="8"/>
  <c r="AA50" i="8" s="1"/>
  <c r="AC52" i="8"/>
  <c r="AC50" i="8" s="1"/>
  <c r="U52" i="8"/>
  <c r="U50" i="8" s="1"/>
  <c r="Y52" i="8"/>
  <c r="Y50" i="8" s="1"/>
  <c r="G54" i="8"/>
  <c r="G53" i="8"/>
  <c r="I54" i="8" s="1"/>
  <c r="E57" i="8"/>
  <c r="R55" i="8"/>
  <c r="E66" i="6" l="1"/>
  <c r="O68" i="5"/>
  <c r="D68" i="12" s="1"/>
  <c r="D67" i="12"/>
  <c r="E67" i="6"/>
  <c r="I56" i="8"/>
  <c r="R56" i="8"/>
  <c r="F56" i="8" s="1"/>
  <c r="L56" i="8"/>
  <c r="M53" i="8" s="1"/>
  <c r="Q53" i="8" s="1"/>
  <c r="X55" i="8" s="1"/>
  <c r="X53" i="8" s="1"/>
  <c r="H56" i="8"/>
  <c r="E68" i="6" l="1"/>
  <c r="P56" i="8"/>
  <c r="N56" i="8"/>
  <c r="O56" i="8"/>
  <c r="F57" i="8"/>
  <c r="Y55" i="8"/>
  <c r="Y53" i="8" s="1"/>
  <c r="B53" i="8"/>
  <c r="E55" i="8"/>
  <c r="C53" i="8"/>
  <c r="AE55" i="8"/>
  <c r="AE53" i="8" s="1"/>
  <c r="Z55" i="8"/>
  <c r="Z53" i="8" s="1"/>
  <c r="AC55" i="8"/>
  <c r="AC53" i="8" s="1"/>
  <c r="G57" i="8"/>
  <c r="G56" i="8"/>
  <c r="I57" i="8" s="1"/>
  <c r="AA55" i="8"/>
  <c r="AA53" i="8" s="1"/>
  <c r="V55" i="8"/>
  <c r="V53" i="8" s="1"/>
  <c r="T55" i="8"/>
  <c r="T53" i="8" s="1"/>
  <c r="AD55" i="8"/>
  <c r="AD53" i="8" s="1"/>
  <c r="R58" i="8"/>
  <c r="E60" i="8"/>
  <c r="W55" i="8"/>
  <c r="W53" i="8" s="1"/>
  <c r="U55" i="8"/>
  <c r="U53" i="8" s="1"/>
  <c r="D55" i="8"/>
  <c r="D53" i="8" s="1"/>
  <c r="AB55" i="8"/>
  <c r="AB53" i="8" s="1"/>
  <c r="I59" i="8" l="1"/>
  <c r="L59" i="8"/>
  <c r="M56" i="8" s="1"/>
  <c r="Q56" i="8" s="1"/>
  <c r="C56" i="8" s="1"/>
  <c r="H59" i="8"/>
  <c r="R59" i="8"/>
  <c r="N59" i="8" l="1"/>
  <c r="P59" i="8"/>
  <c r="O59" i="8"/>
  <c r="X58" i="8"/>
  <c r="X56" i="8" s="1"/>
  <c r="E58" i="8"/>
  <c r="B56" i="8"/>
  <c r="F60" i="8"/>
  <c r="F59" i="8"/>
  <c r="R61" i="8"/>
  <c r="E63" i="8"/>
  <c r="D58" i="8"/>
  <c r="D56" i="8" s="1"/>
  <c r="AB58" i="8"/>
  <c r="AB56" i="8" s="1"/>
  <c r="AA58" i="8"/>
  <c r="AA56" i="8" s="1"/>
  <c r="AE58" i="8"/>
  <c r="AE56" i="8" s="1"/>
  <c r="Y58" i="8"/>
  <c r="Y56" i="8" s="1"/>
  <c r="G59" i="8"/>
  <c r="I60" i="8" s="1"/>
  <c r="G60" i="8"/>
  <c r="V58" i="8"/>
  <c r="V56" i="8" s="1"/>
  <c r="T58" i="8"/>
  <c r="T56" i="8" s="1"/>
  <c r="W58" i="8"/>
  <c r="W56" i="8" s="1"/>
  <c r="U58" i="8"/>
  <c r="U56" i="8" s="1"/>
  <c r="AC58" i="8"/>
  <c r="AC56" i="8" s="1"/>
  <c r="Z58" i="8"/>
  <c r="Z56" i="8" s="1"/>
  <c r="AD58" i="8"/>
  <c r="AD56" i="8" s="1"/>
  <c r="M62" i="8" l="1"/>
  <c r="R62" i="8"/>
  <c r="F63" i="8" s="1"/>
  <c r="I62" i="8"/>
  <c r="L62" i="8"/>
  <c r="M59" i="8" s="1"/>
  <c r="Q59" i="8" s="1"/>
  <c r="E61" i="8" s="1"/>
  <c r="N62" i="8"/>
  <c r="P62" i="8"/>
  <c r="O62" i="8"/>
  <c r="H62" i="8"/>
  <c r="C59" i="8" l="1"/>
  <c r="B59" i="8"/>
  <c r="X61" i="8"/>
  <c r="X59" i="8" s="1"/>
  <c r="V61" i="8"/>
  <c r="V59" i="8" s="1"/>
  <c r="T61" i="8"/>
  <c r="T59" i="8" s="1"/>
  <c r="AE61" i="8"/>
  <c r="AE59" i="8" s="1"/>
  <c r="AB61" i="8"/>
  <c r="AB59" i="8" s="1"/>
  <c r="D61" i="8"/>
  <c r="D59" i="8" s="1"/>
  <c r="AD61" i="8"/>
  <c r="AD59" i="8" s="1"/>
  <c r="AC61" i="8"/>
  <c r="AC59" i="8" s="1"/>
  <c r="AA61" i="8"/>
  <c r="AA59" i="8" s="1"/>
  <c r="Y61" i="8"/>
  <c r="Y59" i="8" s="1"/>
  <c r="Z61" i="8"/>
  <c r="Z59" i="8" s="1"/>
  <c r="W61" i="8"/>
  <c r="W59" i="8" s="1"/>
  <c r="U61" i="8"/>
  <c r="U59" i="8" s="1"/>
  <c r="F62" i="8"/>
  <c r="Q62" i="8"/>
  <c r="E66" i="8"/>
  <c r="R64" i="8"/>
  <c r="G62" i="8"/>
  <c r="I63" i="8" s="1"/>
  <c r="G63" i="8"/>
  <c r="P65" i="8" l="1"/>
  <c r="I65" i="8"/>
  <c r="N65" i="8"/>
  <c r="M65" i="8"/>
  <c r="O65" i="8"/>
  <c r="H65" i="8"/>
  <c r="L65" i="8"/>
  <c r="R65" i="8"/>
  <c r="F65" i="8" s="1"/>
  <c r="E64" i="8"/>
  <c r="B62" i="8"/>
  <c r="C62" i="8"/>
  <c r="Y64" i="8" l="1"/>
  <c r="Y62" i="8" s="1"/>
  <c r="Z64" i="8"/>
  <c r="Z62" i="8" s="1"/>
  <c r="AC64" i="8"/>
  <c r="AC62" i="8" s="1"/>
  <c r="T64" i="8"/>
  <c r="T62" i="8" s="1"/>
  <c r="U64" i="8"/>
  <c r="U62" i="8" s="1"/>
  <c r="X64" i="8"/>
  <c r="X62" i="8" s="1"/>
  <c r="AA64" i="8"/>
  <c r="AA62" i="8" s="1"/>
  <c r="AE64" i="8"/>
  <c r="AE62" i="8" s="1"/>
  <c r="V64" i="8"/>
  <c r="V62" i="8" s="1"/>
  <c r="W64" i="8"/>
  <c r="W62" i="8" s="1"/>
  <c r="D64" i="8"/>
  <c r="D62" i="8" s="1"/>
  <c r="AD64" i="8"/>
  <c r="AD62" i="8" s="1"/>
  <c r="AB64" i="8"/>
  <c r="AB62" i="8" s="1"/>
  <c r="Q65" i="8"/>
  <c r="E69" i="8"/>
  <c r="R67" i="8"/>
  <c r="G66" i="8"/>
  <c r="G65" i="8"/>
  <c r="I66" i="8" s="1"/>
  <c r="F66" i="8"/>
  <c r="L68" i="8" l="1"/>
  <c r="I68" i="8"/>
  <c r="M68" i="8"/>
  <c r="N68" i="8"/>
  <c r="P68" i="8"/>
  <c r="O68" i="8"/>
  <c r="H68" i="8"/>
  <c r="R68" i="8"/>
  <c r="F69" i="8" s="1"/>
  <c r="B65" i="8"/>
  <c r="C65" i="8"/>
  <c r="E67" i="8"/>
  <c r="T67" i="8" l="1"/>
  <c r="T65" i="8" s="1"/>
  <c r="U67" i="8"/>
  <c r="U65" i="8" s="1"/>
  <c r="X67" i="8"/>
  <c r="X65" i="8" s="1"/>
  <c r="AC67" i="8"/>
  <c r="AC65" i="8" s="1"/>
  <c r="AB67" i="8"/>
  <c r="AB65" i="8" s="1"/>
  <c r="AE67" i="8"/>
  <c r="AE65" i="8" s="1"/>
  <c r="Z67" i="8"/>
  <c r="Z65" i="8" s="1"/>
  <c r="D67" i="8"/>
  <c r="D65" i="8" s="1"/>
  <c r="V67" i="8"/>
  <c r="V65" i="8" s="1"/>
  <c r="W67" i="8"/>
  <c r="W65" i="8" s="1"/>
  <c r="Y67" i="8"/>
  <c r="Y65" i="8" s="1"/>
  <c r="AA67" i="8"/>
  <c r="AA65" i="8" s="1"/>
  <c r="AD67" i="8"/>
  <c r="AD65" i="8" s="1"/>
  <c r="F68" i="8"/>
  <c r="G69" i="8"/>
  <c r="G68" i="8"/>
  <c r="I69" i="8" s="1"/>
  <c r="Q68" i="8"/>
  <c r="E72" i="8"/>
  <c r="R70" i="8"/>
  <c r="B68" i="8" l="1"/>
  <c r="C68" i="8"/>
  <c r="E70" i="8"/>
  <c r="N71" i="8"/>
  <c r="R71" i="8"/>
  <c r="F72" i="8" s="1"/>
  <c r="L71" i="8"/>
  <c r="I71" i="8"/>
  <c r="O71" i="8"/>
  <c r="M71" i="8"/>
  <c r="H71" i="8"/>
  <c r="P71" i="8"/>
  <c r="G72" i="8" l="1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Q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M74" i="8" l="1"/>
  <c r="N74" i="8"/>
  <c r="O74" i="8"/>
  <c r="L74" i="8"/>
  <c r="H74" i="8"/>
  <c r="I74" i="8"/>
  <c r="R74" i="8"/>
  <c r="F75" i="8" s="1"/>
  <c r="P74" i="8"/>
  <c r="C71" i="8"/>
  <c r="B71" i="8"/>
  <c r="E73" i="8"/>
  <c r="D73" i="8" l="1"/>
  <c r="D71" i="8" s="1"/>
  <c r="V73" i="8"/>
  <c r="V71" i="8" s="1"/>
  <c r="Y73" i="8"/>
  <c r="Y71" i="8" s="1"/>
  <c r="AB73" i="8"/>
  <c r="AB71" i="8" s="1"/>
  <c r="AD73" i="8"/>
  <c r="AD71" i="8" s="1"/>
  <c r="X73" i="8"/>
  <c r="X71" i="8" s="1"/>
  <c r="F74" i="8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Q74" i="8"/>
  <c r="E78" i="8"/>
  <c r="R76" i="8"/>
  <c r="U73" i="8"/>
  <c r="U71" i="8" s="1"/>
  <c r="G75" i="8"/>
  <c r="G74" i="8"/>
  <c r="I75" i="8" s="1"/>
  <c r="H77" i="8" l="1"/>
  <c r="O77" i="8"/>
  <c r="P77" i="8"/>
  <c r="R77" i="8"/>
  <c r="F77" i="8" s="1"/>
  <c r="L77" i="8"/>
  <c r="N77" i="8"/>
  <c r="M77" i="8"/>
  <c r="I77" i="8"/>
  <c r="E76" i="8"/>
  <c r="B74" i="8"/>
  <c r="C74" i="8"/>
  <c r="U76" i="8" l="1"/>
  <c r="U74" i="8" s="1"/>
  <c r="D76" i="8"/>
  <c r="D74" i="8" s="1"/>
  <c r="AD76" i="8"/>
  <c r="AD74" i="8" s="1"/>
  <c r="W76" i="8"/>
  <c r="W74" i="8" s="1"/>
  <c r="Y76" i="8"/>
  <c r="Y74" i="8" s="1"/>
  <c r="AA76" i="8"/>
  <c r="AA74" i="8" s="1"/>
  <c r="V76" i="8"/>
  <c r="V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R80" i="8" l="1"/>
  <c r="AB79" i="8" s="1"/>
  <c r="AB77" i="8" s="1"/>
  <c r="I80" i="8"/>
  <c r="N80" i="8"/>
  <c r="H80" i="8"/>
  <c r="P80" i="8"/>
  <c r="M80" i="8"/>
  <c r="O80" i="8"/>
  <c r="L80" i="8"/>
  <c r="E79" i="8"/>
  <c r="C77" i="8"/>
  <c r="B77" i="8"/>
  <c r="AC79" i="8" l="1"/>
  <c r="AC77" i="8" s="1"/>
  <c r="U79" i="8"/>
  <c r="U77" i="8" s="1"/>
  <c r="F80" i="8"/>
  <c r="D79" i="8"/>
  <c r="D77" i="8" s="1"/>
  <c r="Z79" i="8"/>
  <c r="Z77" i="8" s="1"/>
  <c r="T79" i="8"/>
  <c r="T77" i="8" s="1"/>
  <c r="W79" i="8"/>
  <c r="W77" i="8" s="1"/>
  <c r="X79" i="8"/>
  <c r="X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E82" i="8" l="1"/>
  <c r="B80" i="8"/>
  <c r="C80" i="8"/>
  <c r="R83" i="8"/>
  <c r="AA82" i="8" s="1"/>
  <c r="AA80" i="8" s="1"/>
  <c r="H83" i="8"/>
  <c r="N83" i="8"/>
  <c r="L83" i="8"/>
  <c r="M83" i="8"/>
  <c r="P83" i="8"/>
  <c r="O83" i="8"/>
  <c r="I83" i="8"/>
  <c r="F83" i="8" l="1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R86" i="8" l="1"/>
  <c r="F86" i="8" s="1"/>
  <c r="L86" i="8"/>
  <c r="P86" i="8"/>
  <c r="N86" i="8"/>
  <c r="H86" i="8"/>
  <c r="O86" i="8"/>
  <c r="M86" i="8"/>
  <c r="I86" i="8"/>
  <c r="E85" i="8"/>
  <c r="B83" i="8"/>
  <c r="C83" i="8"/>
  <c r="AE85" i="8" l="1"/>
  <c r="AE83" i="8" s="1"/>
  <c r="W85" i="8"/>
  <c r="W83" i="8" s="1"/>
  <c r="T85" i="8"/>
  <c r="T83" i="8" s="1"/>
  <c r="Z85" i="8"/>
  <c r="Z83" i="8" s="1"/>
  <c r="AA85" i="8"/>
  <c r="AA83" i="8" s="1"/>
  <c r="AC85" i="8"/>
  <c r="AC83" i="8" s="1"/>
  <c r="X85" i="8"/>
  <c r="X83" i="8" s="1"/>
  <c r="AB85" i="8"/>
  <c r="AB83" i="8" s="1"/>
  <c r="V85" i="8"/>
  <c r="V83" i="8" s="1"/>
  <c r="U85" i="8"/>
  <c r="U83" i="8" s="1"/>
  <c r="D85" i="8"/>
  <c r="D83" i="8" s="1"/>
  <c r="AD85" i="8"/>
  <c r="AD83" i="8" s="1"/>
  <c r="F87" i="8"/>
  <c r="Y85" i="8"/>
  <c r="Y83" i="8" s="1"/>
  <c r="Q86" i="8"/>
  <c r="E90" i="8"/>
  <c r="R88" i="8"/>
  <c r="G87" i="8"/>
  <c r="G86" i="8"/>
  <c r="I87" i="8" s="1"/>
  <c r="O89" i="8" l="1"/>
  <c r="M89" i="8"/>
  <c r="L89" i="8"/>
  <c r="I89" i="8"/>
  <c r="R89" i="8"/>
  <c r="F90" i="8" s="1"/>
  <c r="P89" i="8"/>
  <c r="H89" i="8"/>
  <c r="N89" i="8"/>
  <c r="C86" i="8"/>
  <c r="B86" i="8"/>
  <c r="E88" i="8"/>
  <c r="AE88" i="8" l="1"/>
  <c r="AE86" i="8" s="1"/>
  <c r="U88" i="8"/>
  <c r="U86" i="8" s="1"/>
  <c r="AB88" i="8"/>
  <c r="AB86" i="8" s="1"/>
  <c r="AC88" i="8"/>
  <c r="AC86" i="8" s="1"/>
  <c r="T88" i="8"/>
  <c r="T86" i="8" s="1"/>
  <c r="V88" i="8"/>
  <c r="V86" i="8" s="1"/>
  <c r="D88" i="8"/>
  <c r="D86" i="8" s="1"/>
  <c r="W88" i="8"/>
  <c r="W86" i="8" s="1"/>
  <c r="Y88" i="8"/>
  <c r="Y86" i="8" s="1"/>
  <c r="AD88" i="8"/>
  <c r="AD86" i="8" s="1"/>
  <c r="AA88" i="8"/>
  <c r="AA86" i="8" s="1"/>
  <c r="X88" i="8"/>
  <c r="X86" i="8" s="1"/>
  <c r="Z88" i="8"/>
  <c r="Z86" i="8" s="1"/>
  <c r="F89" i="8"/>
  <c r="G90" i="8"/>
  <c r="G89" i="8"/>
  <c r="I90" i="8" s="1"/>
  <c r="R91" i="8"/>
  <c r="Q89" i="8"/>
  <c r="E93" i="8"/>
  <c r="I92" i="8" l="1"/>
  <c r="O92" i="8"/>
  <c r="M92" i="8"/>
  <c r="R92" i="8"/>
  <c r="W91" i="8" s="1"/>
  <c r="W89" i="8" s="1"/>
  <c r="L92" i="8"/>
  <c r="P92" i="8"/>
  <c r="H92" i="8"/>
  <c r="N92" i="8"/>
  <c r="B89" i="8"/>
  <c r="E91" i="8"/>
  <c r="C89" i="8"/>
  <c r="D91" i="8"/>
  <c r="D89" i="8" s="1"/>
  <c r="V91" i="8" l="1"/>
  <c r="V89" i="8" s="1"/>
  <c r="Z91" i="8"/>
  <c r="Z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M95" i="8" l="1"/>
  <c r="L95" i="8"/>
  <c r="O95" i="8"/>
  <c r="I95" i="8"/>
  <c r="P95" i="8"/>
  <c r="H95" i="8"/>
  <c r="N95" i="8"/>
  <c r="R95" i="8"/>
  <c r="AA94" i="8" s="1"/>
  <c r="AA92" i="8" s="1"/>
  <c r="E94" i="8"/>
  <c r="C92" i="8"/>
  <c r="B92" i="8"/>
  <c r="V94" i="8" l="1"/>
  <c r="V92" i="8" s="1"/>
  <c r="Y94" i="8"/>
  <c r="Y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F98" i="8" s="1"/>
  <c r="M98" i="8"/>
  <c r="N98" i="8"/>
  <c r="L98" i="8"/>
  <c r="H98" i="8"/>
  <c r="I98" i="8"/>
  <c r="O98" i="8"/>
  <c r="P98" i="8"/>
  <c r="E97" i="8"/>
  <c r="C95" i="8"/>
  <c r="B95" i="8"/>
  <c r="AA97" i="8" l="1"/>
  <c r="AA95" i="8" s="1"/>
  <c r="U97" i="8"/>
  <c r="U95" i="8" s="1"/>
  <c r="V97" i="8"/>
  <c r="V95" i="8" s="1"/>
  <c r="AC97" i="8"/>
  <c r="AC95" i="8" s="1"/>
  <c r="W97" i="8"/>
  <c r="W95" i="8" s="1"/>
  <c r="D97" i="8"/>
  <c r="D95" i="8" s="1"/>
  <c r="AE97" i="8"/>
  <c r="AE95" i="8" s="1"/>
  <c r="Y97" i="8"/>
  <c r="Y95" i="8" s="1"/>
  <c r="Z97" i="8"/>
  <c r="Z95" i="8" s="1"/>
  <c r="X97" i="8"/>
  <c r="X95" i="8" s="1"/>
  <c r="AD97" i="8"/>
  <c r="AD95" i="8" s="1"/>
  <c r="T97" i="8"/>
  <c r="T95" i="8" s="1"/>
  <c r="AB97" i="8"/>
  <c r="AB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C103" i="8" l="1"/>
  <c r="AC101" i="8" s="1"/>
  <c r="AE103" i="8"/>
  <c r="AE101" i="8" s="1"/>
  <c r="D103" i="8"/>
  <c r="D101" i="8" s="1"/>
  <c r="Z103" i="8"/>
  <c r="Z101" i="8" s="1"/>
  <c r="W103" i="8"/>
  <c r="W101" i="8" s="1"/>
  <c r="AA103" i="8"/>
  <c r="AA101" i="8" s="1"/>
  <c r="AD103" i="8"/>
  <c r="AD101" i="8" s="1"/>
  <c r="AB103" i="8"/>
  <c r="AB101" i="8" s="1"/>
  <c r="X103" i="8"/>
  <c r="X101" i="8" s="1"/>
  <c r="V103" i="8"/>
  <c r="V101" i="8" s="1"/>
  <c r="Y103" i="8"/>
  <c r="Y101" i="8" s="1"/>
  <c r="U103" i="8"/>
  <c r="U101" i="8" s="1"/>
  <c r="T103" i="8"/>
  <c r="T101" i="8" s="1"/>
  <c r="F104" i="8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F108" i="8" s="1"/>
  <c r="I107" i="8"/>
  <c r="B104" i="8"/>
  <c r="E106" i="8"/>
  <c r="C104" i="8"/>
  <c r="AE106" i="8" l="1"/>
  <c r="AE104" i="8" s="1"/>
  <c r="D106" i="8"/>
  <c r="D104" i="8" s="1"/>
  <c r="AA106" i="8"/>
  <c r="AA104" i="8" s="1"/>
  <c r="U106" i="8"/>
  <c r="U104" i="8" s="1"/>
  <c r="V106" i="8"/>
  <c r="V104" i="8" s="1"/>
  <c r="AC106" i="8"/>
  <c r="AC104" i="8" s="1"/>
  <c r="Y106" i="8"/>
  <c r="Y104" i="8" s="1"/>
  <c r="AB106" i="8"/>
  <c r="AB104" i="8" s="1"/>
  <c r="T106" i="8"/>
  <c r="T104" i="8" s="1"/>
  <c r="X106" i="8"/>
  <c r="X104" i="8" s="1"/>
  <c r="Z106" i="8"/>
  <c r="Z104" i="8" s="1"/>
  <c r="W106" i="8"/>
  <c r="W104" i="8" s="1"/>
  <c r="AD106" i="8"/>
  <c r="AD104" i="8" s="1"/>
  <c r="F107" i="8"/>
  <c r="G108" i="8"/>
  <c r="G107" i="8"/>
  <c r="I108" i="8" s="1"/>
  <c r="R109" i="8"/>
  <c r="Q107" i="8"/>
  <c r="E111" i="8"/>
  <c r="P110" i="8" l="1"/>
  <c r="N110" i="8"/>
  <c r="R110" i="8"/>
  <c r="F110" i="8" s="1"/>
  <c r="O110" i="8"/>
  <c r="H110" i="8"/>
  <c r="I110" i="8"/>
  <c r="L110" i="8"/>
  <c r="M110" i="8"/>
  <c r="E109" i="8"/>
  <c r="B107" i="8"/>
  <c r="D109" i="8"/>
  <c r="D107" i="8" s="1"/>
  <c r="AC109" i="8"/>
  <c r="AC107" i="8" s="1"/>
  <c r="C107" i="8"/>
  <c r="Z109" i="8" l="1"/>
  <c r="Z107" i="8" s="1"/>
  <c r="Y109" i="8"/>
  <c r="Y107" i="8" s="1"/>
  <c r="AD109" i="8"/>
  <c r="AD107" i="8" s="1"/>
  <c r="X109" i="8"/>
  <c r="X107" i="8" s="1"/>
  <c r="W109" i="8"/>
  <c r="W107" i="8" s="1"/>
  <c r="AA109" i="8"/>
  <c r="AA107" i="8" s="1"/>
  <c r="AB109" i="8"/>
  <c r="AB107" i="8" s="1"/>
  <c r="T109" i="8"/>
  <c r="T107" i="8" s="1"/>
  <c r="U109" i="8"/>
  <c r="U107" i="8" s="1"/>
  <c r="V109" i="8"/>
  <c r="V107" i="8" s="1"/>
  <c r="F111" i="8"/>
  <c r="AE109" i="8"/>
  <c r="AE107" i="8" s="1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 l="1"/>
  <c r="AE119" i="8" s="1"/>
  <c r="D121" i="8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/>
  <c r="W122" i="8" s="1"/>
  <c r="AA124" i="8" l="1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AA127" i="8" l="1"/>
  <c r="AA125" i="8" s="1"/>
  <c r="F129" i="8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F132" i="8" s="1"/>
  <c r="H131" i="8"/>
  <c r="I131" i="8"/>
  <c r="P131" i="8"/>
  <c r="B128" i="8"/>
  <c r="E130" i="8"/>
  <c r="C128" i="8"/>
  <c r="V130" i="8" l="1"/>
  <c r="V128" i="8" s="1"/>
  <c r="AA130" i="8"/>
  <c r="AA128" i="8" s="1"/>
  <c r="X130" i="8"/>
  <c r="X128" i="8" s="1"/>
  <c r="AE130" i="8"/>
  <c r="AE128" i="8" s="1"/>
  <c r="T130" i="8"/>
  <c r="T128" i="8" s="1"/>
  <c r="U130" i="8"/>
  <c r="U128" i="8" s="1"/>
  <c r="AC130" i="8"/>
  <c r="AC128" i="8" s="1"/>
  <c r="Y130" i="8"/>
  <c r="Y128" i="8" s="1"/>
  <c r="AB130" i="8"/>
  <c r="AB128" i="8" s="1"/>
  <c r="Z130" i="8"/>
  <c r="Z128" i="8" s="1"/>
  <c r="AD130" i="8"/>
  <c r="AD128" i="8" s="1"/>
  <c r="D130" i="8"/>
  <c r="D128" i="8" s="1"/>
  <c r="W130" i="8"/>
  <c r="W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N35" i="8"/>
  <c r="Q35" i="8" s="1"/>
  <c r="Z145" i="8" l="1"/>
  <c r="Z143" i="8" s="1"/>
  <c r="AD145" i="8"/>
  <c r="AD143" i="8" s="1"/>
  <c r="X145" i="8"/>
  <c r="X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35" i="8"/>
  <c r="T37" i="8"/>
  <c r="E37" i="8"/>
  <c r="AB37" i="8" s="1"/>
  <c r="C35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Z37" i="8"/>
  <c r="Z35" i="8" s="1"/>
  <c r="AD37" i="8"/>
  <c r="W37" i="8"/>
  <c r="V37" i="8"/>
  <c r="D37" i="8"/>
  <c r="D35" i="8" s="1"/>
  <c r="AB35" i="8"/>
  <c r="T35" i="8"/>
  <c r="Y37" i="8"/>
  <c r="AC37" i="8"/>
  <c r="U37" i="8"/>
  <c r="AE37" i="8"/>
  <c r="AA37" i="8"/>
  <c r="X37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W35" i="8"/>
  <c r="AD35" i="8"/>
  <c r="V35" i="8"/>
  <c r="X35" i="8"/>
  <c r="AE35" i="8"/>
  <c r="AC35" i="8"/>
  <c r="AA35" i="8"/>
  <c r="U35" i="8"/>
  <c r="Y35" i="8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/>
  <c r="Y155" i="8" s="1"/>
  <c r="W157" i="8" l="1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N32" i="8" s="1"/>
  <c r="Q32" i="8" s="1"/>
  <c r="P161" i="8"/>
  <c r="I161" i="8"/>
  <c r="M161" i="8"/>
  <c r="H161" i="8"/>
  <c r="R161" i="8"/>
  <c r="AB160" i="8" s="1"/>
  <c r="AB158" i="8" s="1"/>
  <c r="N161" i="8"/>
  <c r="O161" i="8"/>
  <c r="G33" i="8" l="1"/>
  <c r="G32" i="8"/>
  <c r="I33" i="8" s="1"/>
  <c r="B32" i="8"/>
  <c r="C32" i="8"/>
  <c r="E34" i="8"/>
  <c r="AA34" i="8" s="1"/>
  <c r="AA32" i="8" s="1"/>
  <c r="Y34" i="8"/>
  <c r="Y32" i="8" s="1"/>
  <c r="X34" i="8"/>
  <c r="X32" i="8" s="1"/>
  <c r="N26" i="8"/>
  <c r="Q26" i="8" s="1"/>
  <c r="B26" i="8" s="1"/>
  <c r="N29" i="8"/>
  <c r="Q29" i="8" s="1"/>
  <c r="N20" i="8"/>
  <c r="Q20" i="8" s="1"/>
  <c r="N23" i="8"/>
  <c r="Q23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W34" i="8" l="1"/>
  <c r="W32" i="8" s="1"/>
  <c r="AE34" i="8"/>
  <c r="AE32" i="8" s="1"/>
  <c r="V34" i="8"/>
  <c r="V32" i="8" s="1"/>
  <c r="D34" i="8"/>
  <c r="D32" i="8" s="1"/>
  <c r="AD34" i="8"/>
  <c r="AD32" i="8" s="1"/>
  <c r="T34" i="8"/>
  <c r="T32" i="8" s="1"/>
  <c r="Z34" i="8"/>
  <c r="Z32" i="8" s="1"/>
  <c r="AB34" i="8"/>
  <c r="AB32" i="8" s="1"/>
  <c r="AC34" i="8"/>
  <c r="AC32" i="8" s="1"/>
  <c r="U34" i="8"/>
  <c r="U32" i="8" s="1"/>
  <c r="G29" i="8"/>
  <c r="I30" i="8" s="1"/>
  <c r="G30" i="8"/>
  <c r="G27" i="8"/>
  <c r="E28" i="8"/>
  <c r="AC28" i="8" s="1"/>
  <c r="AC26" i="8" s="1"/>
  <c r="C26" i="8"/>
  <c r="C29" i="8"/>
  <c r="B29" i="8"/>
  <c r="E31" i="8"/>
  <c r="D31" i="8" s="1"/>
  <c r="D29" i="8" s="1"/>
  <c r="G24" i="8"/>
  <c r="G21" i="8"/>
  <c r="G18" i="8"/>
  <c r="C20" i="8"/>
  <c r="E22" i="8"/>
  <c r="D22" i="8" s="1"/>
  <c r="D20" i="8" s="1"/>
  <c r="B20" i="8"/>
  <c r="B23" i="8"/>
  <c r="C23" i="8"/>
  <c r="E25" i="8"/>
  <c r="AD25" i="8" s="1"/>
  <c r="AD23" i="8" s="1"/>
  <c r="B17" i="8"/>
  <c r="E19" i="8"/>
  <c r="AD19" i="8" s="1"/>
  <c r="C17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Y28" i="8" l="1"/>
  <c r="Y26" i="8" s="1"/>
  <c r="Z28" i="8"/>
  <c r="Z26" i="8" s="1"/>
  <c r="AB28" i="8"/>
  <c r="AB26" i="8" s="1"/>
  <c r="W28" i="8"/>
  <c r="W26" i="8" s="1"/>
  <c r="D28" i="8"/>
  <c r="D26" i="8" s="1"/>
  <c r="AD28" i="8"/>
  <c r="AD26" i="8" s="1"/>
  <c r="U28" i="8"/>
  <c r="U26" i="8" s="1"/>
  <c r="V28" i="8"/>
  <c r="V26" i="8" s="1"/>
  <c r="AE28" i="8"/>
  <c r="AE26" i="8" s="1"/>
  <c r="X31" i="8"/>
  <c r="X29" i="8" s="1"/>
  <c r="Y31" i="8"/>
  <c r="Y29" i="8" s="1"/>
  <c r="AC31" i="8"/>
  <c r="AC29" i="8" s="1"/>
  <c r="Z31" i="8"/>
  <c r="Z29" i="8" s="1"/>
  <c r="AA28" i="8"/>
  <c r="AA26" i="8" s="1"/>
  <c r="X28" i="8"/>
  <c r="X26" i="8" s="1"/>
  <c r="T28" i="8"/>
  <c r="T26" i="8" s="1"/>
  <c r="U31" i="8"/>
  <c r="U29" i="8" s="1"/>
  <c r="V31" i="8"/>
  <c r="V29" i="8" s="1"/>
  <c r="AB31" i="8"/>
  <c r="AB29" i="8" s="1"/>
  <c r="AA31" i="8"/>
  <c r="AA29" i="8" s="1"/>
  <c r="T31" i="8"/>
  <c r="T29" i="8" s="1"/>
  <c r="W31" i="8"/>
  <c r="W29" i="8" s="1"/>
  <c r="AD31" i="8"/>
  <c r="AD29" i="8" s="1"/>
  <c r="AE31" i="8"/>
  <c r="AE29" i="8" s="1"/>
  <c r="G26" i="8"/>
  <c r="I27" i="8" s="1"/>
  <c r="X25" i="8"/>
  <c r="X23" i="8" s="1"/>
  <c r="AE25" i="8"/>
  <c r="AE23" i="8" s="1"/>
  <c r="AA25" i="8"/>
  <c r="AA23" i="8" s="1"/>
  <c r="T25" i="8"/>
  <c r="T23" i="8" s="1"/>
  <c r="U22" i="8"/>
  <c r="U20" i="8" s="1"/>
  <c r="AC25" i="8"/>
  <c r="AC23" i="8" s="1"/>
  <c r="V25" i="8"/>
  <c r="V23" i="8" s="1"/>
  <c r="V22" i="8"/>
  <c r="V20" i="8" s="1"/>
  <c r="Y25" i="8"/>
  <c r="Y23" i="8" s="1"/>
  <c r="Z25" i="8"/>
  <c r="Z23" i="8" s="1"/>
  <c r="D25" i="8"/>
  <c r="D23" i="8" s="1"/>
  <c r="W25" i="8"/>
  <c r="W23" i="8" s="1"/>
  <c r="U25" i="8"/>
  <c r="U23" i="8" s="1"/>
  <c r="AB25" i="8"/>
  <c r="AB23" i="8" s="1"/>
  <c r="AD22" i="8"/>
  <c r="AD20" i="8" s="1"/>
  <c r="W22" i="8"/>
  <c r="W20" i="8" s="1"/>
  <c r="AE22" i="8"/>
  <c r="AE20" i="8" s="1"/>
  <c r="X22" i="8"/>
  <c r="X20" i="8" s="1"/>
  <c r="AC22" i="8"/>
  <c r="AC20" i="8" s="1"/>
  <c r="Y22" i="8"/>
  <c r="Y20" i="8" s="1"/>
  <c r="Z22" i="8"/>
  <c r="Z20" i="8" s="1"/>
  <c r="AA22" i="8"/>
  <c r="AA20" i="8" s="1"/>
  <c r="AB22" i="8"/>
  <c r="AB20" i="8" s="1"/>
  <c r="T22" i="8"/>
  <c r="T20" i="8" s="1"/>
  <c r="Y19" i="8"/>
  <c r="Y17" i="8" s="1"/>
  <c r="Z19" i="8"/>
  <c r="AA19" i="8"/>
  <c r="AD17" i="8"/>
  <c r="AB19" i="8"/>
  <c r="AC19" i="8"/>
  <c r="U19" i="8"/>
  <c r="V19" i="8"/>
  <c r="AE19" i="8"/>
  <c r="W19" i="8"/>
  <c r="W17" i="8" s="1"/>
  <c r="T19" i="8"/>
  <c r="T17" i="8" s="1"/>
  <c r="X19" i="8"/>
  <c r="D19" i="8"/>
  <c r="G23" i="8" l="1"/>
  <c r="I24" i="8" s="1"/>
  <c r="G20" i="8"/>
  <c r="I21" i="8" s="1"/>
  <c r="AE16" i="8"/>
  <c r="AE14" i="8" s="1"/>
  <c r="U16" i="8"/>
  <c r="U14" i="8" s="1"/>
  <c r="V16" i="8"/>
  <c r="V14" i="8" s="1"/>
  <c r="AC16" i="8"/>
  <c r="AC14" i="8" s="1"/>
  <c r="AD16" i="8"/>
  <c r="AD14" i="8" s="1"/>
  <c r="AA16" i="8"/>
  <c r="AA14" i="8" s="1"/>
  <c r="AB16" i="8"/>
  <c r="AB14" i="8" s="1"/>
  <c r="Y16" i="8"/>
  <c r="Y14" i="8" s="1"/>
  <c r="T16" i="8"/>
  <c r="T174" i="8" s="1"/>
  <c r="U17" i="8"/>
  <c r="AC17" i="8"/>
  <c r="W16" i="8"/>
  <c r="W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G17" i="8" l="1"/>
  <c r="I18" i="8" s="1"/>
  <c r="T172" i="8" a="1"/>
  <c r="T172" i="8" s="1"/>
  <c r="U172" i="8" s="1" a="1"/>
  <c r="U172" i="8" s="1"/>
  <c r="T173" i="8" a="1"/>
  <c r="T173" i="8" s="1"/>
  <c r="T14" i="8"/>
  <c r="D174" i="8"/>
  <c r="D14" i="8"/>
  <c r="D173" i="8" a="1"/>
  <c r="D173" i="8" s="1"/>
  <c r="D168" i="8" s="1"/>
  <c r="D172" i="8" a="1"/>
  <c r="D172" i="8" s="1"/>
  <c r="D167" i="8" s="1"/>
  <c r="T170" i="8"/>
  <c r="U174" i="8"/>
  <c r="T169" i="8"/>
  <c r="T165" i="8" s="1"/>
  <c r="T171" i="8" l="1"/>
  <c r="T166" i="8" s="1"/>
  <c r="U173" i="8" a="1"/>
  <c r="U173" i="8" s="1"/>
  <c r="U171" i="8" s="1"/>
  <c r="U166" i="8" s="1"/>
  <c r="T168" i="8"/>
  <c r="T167" i="8"/>
  <c r="D170" i="8"/>
  <c r="D171" i="8"/>
  <c r="D166" i="8" s="1"/>
  <c r="D169" i="8"/>
  <c r="D165" i="8" s="1"/>
  <c r="V174" i="8"/>
  <c r="U169" i="8"/>
  <c r="U165" i="8" s="1"/>
  <c r="U170" i="8"/>
  <c r="V172" i="8" a="1"/>
  <c r="V172" i="8" s="1"/>
  <c r="U167" i="8"/>
  <c r="V173" i="8" l="1" a="1"/>
  <c r="V173" i="8" s="1"/>
  <c r="V168" i="8" s="1"/>
  <c r="U168" i="8"/>
  <c r="W172" i="8" a="1"/>
  <c r="W172" i="8" s="1"/>
  <c r="V167" i="8"/>
  <c r="W174" i="8"/>
  <c r="V169" i="8"/>
  <c r="V165" i="8" s="1"/>
  <c r="V170" i="8"/>
  <c r="V171" i="8" l="1"/>
  <c r="V166" i="8" s="1"/>
  <c r="W173" i="8" a="1"/>
  <c r="W173" i="8" s="1"/>
  <c r="W168" i="8" s="1"/>
  <c r="X172" i="8" a="1"/>
  <c r="X172" i="8" s="1"/>
  <c r="W167" i="8"/>
  <c r="W169" i="8"/>
  <c r="W165" i="8" s="1"/>
  <c r="W170" i="8"/>
  <c r="J10" i="13" s="1"/>
  <c r="G10" i="13" s="1"/>
  <c r="X174" i="8"/>
  <c r="W171" i="8" l="1"/>
  <c r="W166" i="8" s="1"/>
  <c r="X173" i="8" a="1"/>
  <c r="X173" i="8" s="1"/>
  <c r="X168" i="8" s="1"/>
  <c r="X170" i="8"/>
  <c r="Y174" i="8"/>
  <c r="X169" i="8"/>
  <c r="X165" i="8" s="1"/>
  <c r="X167" i="8"/>
  <c r="Y172" i="8" a="1"/>
  <c r="Y172" i="8" s="1"/>
  <c r="X171" i="8" l="1"/>
  <c r="X166" i="8" s="1"/>
  <c r="Y173" i="8" a="1"/>
  <c r="Y173" i="8" s="1"/>
  <c r="Y168" i="8" s="1"/>
  <c r="Z172" i="8" a="1"/>
  <c r="Z172" i="8" s="1"/>
  <c r="Y167" i="8"/>
  <c r="Y169" i="8"/>
  <c r="Y165" i="8" s="1"/>
  <c r="Y170" i="8"/>
  <c r="Z174" i="8"/>
  <c r="Y171" i="8" l="1"/>
  <c r="Y166" i="8" s="1"/>
  <c r="Z173" i="8" a="1"/>
  <c r="Z173" i="8" s="1"/>
  <c r="AA173" i="8" s="1" a="1"/>
  <c r="AA173" i="8" s="1"/>
  <c r="Z170" i="8"/>
  <c r="Z169" i="8"/>
  <c r="Z165" i="8" s="1"/>
  <c r="AA174" i="8"/>
  <c r="AA172" i="8" a="1"/>
  <c r="AA172" i="8" s="1"/>
  <c r="Z167" i="8"/>
  <c r="Z171" i="8" l="1"/>
  <c r="Z166" i="8" s="1"/>
  <c r="Z168" i="8"/>
  <c r="AB172" i="8" a="1"/>
  <c r="AB172" i="8" s="1"/>
  <c r="AA167" i="8"/>
  <c r="AA171" i="8"/>
  <c r="AA169" i="8"/>
  <c r="AA165" i="8" s="1"/>
  <c r="AB174" i="8"/>
  <c r="AA170" i="8"/>
  <c r="AA168" i="8"/>
  <c r="AB173" i="8" a="1"/>
  <c r="AB173" i="8" s="1"/>
  <c r="AA166" i="8" l="1"/>
  <c r="AC173" i="8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AC170" i="8" l="1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AD167" i="8" l="1"/>
  <c r="AE172" i="8" a="1"/>
  <c r="AE172" i="8" s="1"/>
  <c r="AD169" i="8"/>
  <c r="AD165" i="8" s="1"/>
  <c r="AD171" i="8"/>
  <c r="AD166" i="8" s="1"/>
  <c r="AD170" i="8"/>
  <c r="AE174" i="8"/>
  <c r="AD168" i="8"/>
  <c r="AE173" i="8" a="1"/>
  <c r="AE173" i="8" s="1"/>
  <c r="AE168" i="8" s="1"/>
  <c r="AE167" i="8" l="1"/>
  <c r="AF172" i="8"/>
  <c r="AF174" i="8"/>
  <c r="AE171" i="8"/>
  <c r="AE170" i="8"/>
  <c r="AE169" i="8"/>
  <c r="AE165" i="8" s="1"/>
  <c r="B9" i="9"/>
  <c r="J10" i="8"/>
  <c r="AE166" i="8" l="1"/>
  <c r="AF171" i="8"/>
  <c r="AF173" i="8" s="1"/>
  <c r="I20" i="8" l="1"/>
  <c r="F22" i="6" l="1"/>
  <c r="E22" i="12"/>
  <c r="G22" i="6"/>
  <c r="N23" i="6" l="1"/>
  <c r="N24" i="6"/>
  <c r="N25" i="6"/>
  <c r="N26" i="6"/>
  <c r="N27" i="6"/>
  <c r="N28" i="6"/>
  <c r="N29" i="6"/>
  <c r="N30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20" i="6"/>
  <c r="N119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6" i="6"/>
  <c r="N155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4" i="6"/>
  <c r="N193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4" i="6"/>
  <c r="N253" i="6"/>
  <c r="N255" i="6"/>
  <c r="N256" i="6"/>
  <c r="N257" i="6"/>
  <c r="N258" i="6"/>
  <c r="N259" i="6"/>
  <c r="N260" i="6"/>
  <c r="N261" i="6"/>
  <c r="N262" i="6"/>
  <c r="N263" i="6"/>
  <c r="N264" i="6"/>
  <c r="N265" i="6"/>
  <c r="C21" i="9" l="1"/>
  <c r="C21" i="10"/>
  <c r="C20" i="9"/>
  <c r="C20" i="10"/>
  <c r="C19" i="9"/>
  <c r="C19" i="10"/>
  <c r="C17" i="9"/>
  <c r="C17" i="10"/>
  <c r="I23" i="8" l="1"/>
  <c r="G30" i="6" l="1"/>
  <c r="E30" i="12"/>
  <c r="F30" i="6"/>
  <c r="N31" i="6" l="1"/>
  <c r="N35" i="6"/>
  <c r="N32" i="6"/>
  <c r="N36" i="6"/>
  <c r="N33" i="6"/>
  <c r="N37" i="6"/>
  <c r="N34" i="6"/>
  <c r="N38" i="6"/>
  <c r="C18" i="10" l="1"/>
  <c r="C18" i="9"/>
  <c r="AF20" i="5" l="1"/>
  <c r="AF16" i="5"/>
  <c r="AF21" i="5"/>
  <c r="AF14" i="5"/>
  <c r="S16" i="5" l="1"/>
  <c r="F16" i="12" s="1"/>
  <c r="AG16" i="5"/>
  <c r="AC16" i="5" s="1"/>
  <c r="AG20" i="5"/>
  <c r="R20" i="5"/>
  <c r="F20" i="6" s="1"/>
  <c r="S20" i="5"/>
  <c r="F20" i="12" s="1"/>
  <c r="S14" i="5"/>
  <c r="AG14" i="5"/>
  <c r="R14" i="5"/>
  <c r="S21" i="5"/>
  <c r="AG21" i="5"/>
  <c r="R21" i="5"/>
  <c r="AF22" i="5"/>
  <c r="AF24" i="5"/>
  <c r="AF36" i="5"/>
  <c r="AF35" i="5"/>
  <c r="AF25" i="5"/>
  <c r="AF32" i="5"/>
  <c r="AF26" i="5"/>
  <c r="AF44" i="5"/>
  <c r="AF64" i="5"/>
  <c r="AF67" i="5"/>
  <c r="AF68" i="5"/>
  <c r="AF65" i="5"/>
  <c r="AF66" i="5"/>
  <c r="AF52" i="5"/>
  <c r="AF42" i="5"/>
  <c r="AF40" i="5"/>
  <c r="AF63" i="5"/>
  <c r="AF56" i="5"/>
  <c r="AF55" i="5"/>
  <c r="AF54" i="5"/>
  <c r="AF43" i="5"/>
  <c r="AF41" i="5"/>
  <c r="AF53" i="5"/>
  <c r="AF19" i="5"/>
  <c r="AF31" i="5"/>
  <c r="AF18" i="5"/>
  <c r="AF17" i="5"/>
  <c r="AF29" i="5"/>
  <c r="AF34" i="5"/>
  <c r="AF23" i="5"/>
  <c r="AF33" i="5"/>
  <c r="AF30" i="5"/>
  <c r="AF27" i="5"/>
  <c r="AF28" i="5"/>
  <c r="E20" i="12" l="1"/>
  <c r="AC20" i="5"/>
  <c r="G20" i="6"/>
  <c r="AG28" i="5"/>
  <c r="R28" i="5"/>
  <c r="S28" i="5"/>
  <c r="S30" i="5"/>
  <c r="AG30" i="5"/>
  <c r="AG23" i="5"/>
  <c r="R23" i="5"/>
  <c r="S23" i="5"/>
  <c r="R29" i="5"/>
  <c r="AG29" i="5"/>
  <c r="S29" i="5"/>
  <c r="AG17" i="5"/>
  <c r="S17" i="5"/>
  <c r="AG35" i="5"/>
  <c r="S35" i="5"/>
  <c r="R35" i="5"/>
  <c r="S36" i="5"/>
  <c r="AG36" i="5"/>
  <c r="R36" i="5"/>
  <c r="S22" i="5"/>
  <c r="AG22" i="5"/>
  <c r="F21" i="12"/>
  <c r="G21" i="6"/>
  <c r="E14" i="12"/>
  <c r="AC14" i="5"/>
  <c r="F14" i="6"/>
  <c r="F21" i="6"/>
  <c r="E21" i="12"/>
  <c r="AC21" i="5"/>
  <c r="F14" i="12"/>
  <c r="G14" i="6"/>
  <c r="S27" i="5"/>
  <c r="S33" i="5"/>
  <c r="R34" i="5"/>
  <c r="S18" i="5"/>
  <c r="S19" i="5"/>
  <c r="AG53" i="5"/>
  <c r="AG41" i="5"/>
  <c r="R54" i="5"/>
  <c r="AG55" i="5"/>
  <c r="AG56" i="5"/>
  <c r="AG40" i="5"/>
  <c r="R42" i="5"/>
  <c r="R52" i="5"/>
  <c r="AG65" i="5"/>
  <c r="AG68" i="5"/>
  <c r="R67" i="5"/>
  <c r="S44" i="5"/>
  <c r="S26" i="5"/>
  <c r="AG32" i="5"/>
  <c r="S24" i="5"/>
  <c r="R27" i="5"/>
  <c r="AG33" i="5"/>
  <c r="S31" i="5"/>
  <c r="AG19" i="5"/>
  <c r="S53" i="5"/>
  <c r="AG43" i="5"/>
  <c r="AG54" i="5"/>
  <c r="S55" i="5"/>
  <c r="R63" i="5"/>
  <c r="R40" i="5"/>
  <c r="AG42" i="5"/>
  <c r="S66" i="5"/>
  <c r="R65" i="5"/>
  <c r="S68" i="5"/>
  <c r="AG64" i="5"/>
  <c r="AG44" i="5"/>
  <c r="AG26" i="5"/>
  <c r="AG25" i="5"/>
  <c r="R33" i="5"/>
  <c r="S34" i="5"/>
  <c r="R18" i="5"/>
  <c r="R31" i="5"/>
  <c r="R19" i="5"/>
  <c r="R41" i="5"/>
  <c r="S43" i="5"/>
  <c r="S54" i="5"/>
  <c r="R56" i="5"/>
  <c r="S63" i="5"/>
  <c r="S40" i="5"/>
  <c r="S52" i="5"/>
  <c r="R66" i="5"/>
  <c r="S65" i="5"/>
  <c r="AG67" i="5"/>
  <c r="R64" i="5"/>
  <c r="R44" i="5"/>
  <c r="S32" i="5"/>
  <c r="R25" i="5"/>
  <c r="R24" i="5"/>
  <c r="AG27" i="5"/>
  <c r="AG34" i="5"/>
  <c r="AG18" i="5"/>
  <c r="AG31" i="5"/>
  <c r="R53" i="5"/>
  <c r="S41" i="5"/>
  <c r="R43" i="5"/>
  <c r="R55" i="5"/>
  <c r="S56" i="5"/>
  <c r="AG63" i="5"/>
  <c r="S42" i="5"/>
  <c r="AG52" i="5"/>
  <c r="AG66" i="5"/>
  <c r="R68" i="5"/>
  <c r="S67" i="5"/>
  <c r="S64" i="5"/>
  <c r="R26" i="5"/>
  <c r="R32" i="5"/>
  <c r="S25" i="5"/>
  <c r="AG24" i="5"/>
  <c r="F25" i="12" l="1"/>
  <c r="G25" i="6"/>
  <c r="AC32" i="5"/>
  <c r="E32" i="12"/>
  <c r="F32" i="6"/>
  <c r="F26" i="6"/>
  <c r="E26" i="12"/>
  <c r="AC26" i="5"/>
  <c r="G64" i="6"/>
  <c r="F64" i="12"/>
  <c r="G67" i="6"/>
  <c r="F67" i="12"/>
  <c r="AC68" i="5"/>
  <c r="F68" i="6"/>
  <c r="E68" i="12"/>
  <c r="F42" i="12"/>
  <c r="G42" i="6"/>
  <c r="G56" i="6"/>
  <c r="F56" i="12"/>
  <c r="F55" i="6"/>
  <c r="E55" i="12"/>
  <c r="AC55" i="5"/>
  <c r="E43" i="12"/>
  <c r="AC43" i="5"/>
  <c r="F43" i="6"/>
  <c r="G41" i="6"/>
  <c r="F41" i="12"/>
  <c r="AC53" i="5"/>
  <c r="F53" i="6"/>
  <c r="E53" i="12"/>
  <c r="AC24" i="5"/>
  <c r="F24" i="6"/>
  <c r="E24" i="12"/>
  <c r="AC25" i="5"/>
  <c r="E25" i="12"/>
  <c r="F25" i="6"/>
  <c r="F32" i="12"/>
  <c r="G32" i="6"/>
  <c r="E44" i="12"/>
  <c r="F44" i="6"/>
  <c r="AC44" i="5"/>
  <c r="AC64" i="5"/>
  <c r="F64" i="6"/>
  <c r="E64" i="12"/>
  <c r="F65" i="12"/>
  <c r="G65" i="6"/>
  <c r="AC66" i="5"/>
  <c r="F66" i="6"/>
  <c r="E66" i="12"/>
  <c r="F52" i="12"/>
  <c r="G52" i="6"/>
  <c r="F40" i="12"/>
  <c r="G40" i="6"/>
  <c r="F63" i="12"/>
  <c r="G63" i="6"/>
  <c r="E56" i="12"/>
  <c r="F56" i="6"/>
  <c r="AC56" i="5"/>
  <c r="G54" i="6"/>
  <c r="F54" i="12"/>
  <c r="F43" i="12"/>
  <c r="G43" i="6"/>
  <c r="F41" i="6"/>
  <c r="E41" i="12"/>
  <c r="AC41" i="5"/>
  <c r="AC19" i="5"/>
  <c r="F19" i="6"/>
  <c r="E19" i="12"/>
  <c r="E31" i="12"/>
  <c r="AC31" i="5"/>
  <c r="F31" i="6"/>
  <c r="AC18" i="5"/>
  <c r="F18" i="6"/>
  <c r="E18" i="12"/>
  <c r="G34" i="6"/>
  <c r="F34" i="12"/>
  <c r="AC33" i="5"/>
  <c r="F33" i="6"/>
  <c r="E33" i="12"/>
  <c r="F68" i="12"/>
  <c r="G68" i="6"/>
  <c r="F65" i="6"/>
  <c r="AC65" i="5"/>
  <c r="E65" i="12"/>
  <c r="F66" i="12"/>
  <c r="G66" i="6"/>
  <c r="E40" i="12"/>
  <c r="AC40" i="5"/>
  <c r="F40" i="6"/>
  <c r="E63" i="12"/>
  <c r="F63" i="6"/>
  <c r="AC63" i="5"/>
  <c r="G55" i="6"/>
  <c r="F55" i="12"/>
  <c r="G53" i="6"/>
  <c r="F53" i="12"/>
  <c r="F31" i="12"/>
  <c r="G31" i="6"/>
  <c r="AC27" i="5"/>
  <c r="E27" i="12"/>
  <c r="F27" i="6"/>
  <c r="F24" i="12"/>
  <c r="G24" i="6"/>
  <c r="F26" i="12"/>
  <c r="G26" i="6"/>
  <c r="G44" i="6"/>
  <c r="F44" i="12"/>
  <c r="E67" i="12"/>
  <c r="AC67" i="5"/>
  <c r="F67" i="6"/>
  <c r="AC52" i="5"/>
  <c r="F52" i="6"/>
  <c r="E52" i="12"/>
  <c r="E42" i="12"/>
  <c r="AC42" i="5"/>
  <c r="F42" i="6"/>
  <c r="AC54" i="5"/>
  <c r="F54" i="6"/>
  <c r="E54" i="12"/>
  <c r="G19" i="6"/>
  <c r="F19" i="12"/>
  <c r="G18" i="6"/>
  <c r="F18" i="12"/>
  <c r="F34" i="6"/>
  <c r="E34" i="12"/>
  <c r="AC34" i="5"/>
  <c r="F33" i="12"/>
  <c r="G33" i="6"/>
  <c r="G27" i="6"/>
  <c r="F27" i="12"/>
  <c r="F36" i="12"/>
  <c r="G36" i="6"/>
  <c r="G29" i="6"/>
  <c r="F29" i="12"/>
  <c r="F35" i="6"/>
  <c r="AC35" i="5"/>
  <c r="E35" i="12"/>
  <c r="F30" i="12"/>
  <c r="AC30" i="5"/>
  <c r="G28" i="6"/>
  <c r="F28" i="12"/>
  <c r="F22" i="12"/>
  <c r="AC22" i="5"/>
  <c r="F36" i="6"/>
  <c r="E36" i="12"/>
  <c r="AC36" i="5"/>
  <c r="G35" i="6"/>
  <c r="F35" i="12"/>
  <c r="F17" i="12"/>
  <c r="AC17" i="5"/>
  <c r="E29" i="12"/>
  <c r="F29" i="6"/>
  <c r="AC29" i="5"/>
  <c r="G23" i="6"/>
  <c r="F23" i="12"/>
  <c r="F28" i="6"/>
  <c r="E28" i="12"/>
  <c r="AC28" i="5"/>
  <c r="E23" i="12"/>
  <c r="F23" i="6"/>
  <c r="AC23" i="5"/>
  <c r="AC11" i="5" l="1"/>
</calcChain>
</file>

<file path=xl/comments1.xml><?xml version="1.0" encoding="utf-8"?>
<comments xmlns="http://schemas.openxmlformats.org/spreadsheetml/2006/main">
  <authors>
    <author/>
  </authors>
  <commentList>
    <comment ref="F40" authorId="0" shapeId="0">
      <text>
        <r>
          <rPr>
            <sz val="9"/>
            <color indexed="8"/>
            <rFont val="Segoe UI"/>
            <family val="2"/>
          </rPr>
          <t>Informar a data-base do CTEF no formato mm-aaaa.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6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J7" authorId="0" shapeId="0">
      <text>
        <r>
          <rPr>
            <b/>
            <sz val="9"/>
            <color indexed="8"/>
            <rFont val="Tahoma"/>
            <family val="2"/>
          </rPr>
          <t xml:space="preserve">QUANTIDADES:
</t>
        </r>
        <r>
          <rPr>
            <sz val="9"/>
            <color indexed="8"/>
            <rFont val="Tahoma"/>
            <family val="2"/>
          </rPr>
          <t>PREENCHA AS QUANTIDADES AQUI PARA ACOMPANHAMENTOS POR BM.</t>
        </r>
      </text>
    </comment>
    <comment ref="AL7" authorId="0" shapeId="0">
      <text>
        <r>
          <rPr>
            <b/>
            <sz val="9"/>
            <color indexed="8"/>
            <rFont val="Tahoma"/>
            <family val="2"/>
          </rPr>
          <t xml:space="preserve">PREÇO UNITÁRIO LICITADO:
</t>
        </r>
        <r>
          <rPr>
            <sz val="9"/>
            <color indexed="8"/>
            <rFont val="Tahoma"/>
            <family val="2"/>
          </rPr>
          <t>PREENCHA AQUI O PREÇO UNITÁRIO DA LICITAÇÃO.</t>
        </r>
      </text>
    </comment>
    <comment ref="L8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Y8" authorId="0" shapeId="0">
      <text>
        <r>
          <rPr>
            <b/>
            <sz val="9"/>
            <color indexed="8"/>
            <rFont val="Tahoma"/>
            <family val="2"/>
          </rPr>
          <t xml:space="preserve">RECURSO:
</t>
        </r>
        <r>
          <rPr>
            <sz val="9"/>
            <color indexed="8"/>
            <rFont val="Tahoma"/>
            <family val="2"/>
          </rPr>
          <t>Selecione a composição do item do Orçamento no Investimento.
RA: Rateio proporcional entre Repasse e Contrapartida.
RP: 100% valor de Repasse.
CP: 100%  valor de Contrapartida.
OU: 100% valor "Outros".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5" authorId="0" shapeId="0">
      <text>
        <r>
          <rPr>
            <sz val="9"/>
            <color indexed="8"/>
            <rFont val="Segoe UI"/>
            <family val="2"/>
          </rPr>
          <t>O evento de administração local é fixo, de uso opcional.
Os serviços agrupados neste evento serão medidos proporcionalmente à execução dos demais eventos.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7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AB12" authorId="0" shapeId="0">
      <text>
        <r>
          <rPr>
            <sz val="9"/>
            <color indexed="8"/>
            <rFont val="Segoe UI"/>
            <family val="2"/>
          </rPr>
          <t>Digite nestes campos as datas das medições</t>
        </r>
      </text>
    </comment>
    <comment ref="AB13" authorId="0" shapeId="0">
      <text>
        <r>
          <rPr>
            <sz val="9"/>
            <color indexed="8"/>
            <rFont val="Tahoma"/>
            <family val="2"/>
          </rPr>
          <t xml:space="preserve">Para medições além da 12ª, preencha esta coluna com as </t>
        </r>
        <r>
          <rPr>
            <b/>
            <sz val="9"/>
            <color indexed="8"/>
            <rFont val="Tahoma"/>
            <family val="2"/>
          </rPr>
          <t>quantidades acumuladas.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7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Z25" authorId="0" shapeId="0">
      <text>
        <r>
          <rPr>
            <b/>
            <sz val="9"/>
            <color indexed="8"/>
            <rFont val="Segoe UI"/>
            <family val="2"/>
          </rPr>
          <t xml:space="preserve">Valores de Contrapartida e Outros:
</t>
        </r>
        <r>
          <rPr>
            <sz val="9"/>
            <color indexed="8"/>
            <rFont val="Segoe UI"/>
            <family val="2"/>
          </rPr>
          <t>Digite somente para desbloquear valores diferentes do previsto no RRE.</t>
        </r>
      </text>
    </comment>
  </commentList>
</comments>
</file>

<file path=xl/sharedStrings.xml><?xml version="1.0" encoding="utf-8"?>
<sst xmlns="http://schemas.openxmlformats.org/spreadsheetml/2006/main" count="2390" uniqueCount="499">
  <si>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</si>
  <si>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</si>
  <si>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</si>
  <si>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</si>
  <si>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</si>
  <si>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</si>
  <si>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</si>
  <si>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</si>
  <si>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</si>
  <si>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</si>
  <si>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</si>
  <si>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</si>
  <si>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</si>
  <si>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</si>
  <si>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</si>
  <si>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</si>
  <si>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</si>
  <si>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</si>
  <si>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</si>
  <si>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</si>
  <si>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</si>
  <si>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</si>
  <si>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</si>
  <si>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</si>
  <si>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</si>
  <si>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</si>
  <si>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</si>
  <si>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</si>
  <si>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</si>
  <si>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</si>
  <si>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</si>
  <si>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</si>
  <si>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</si>
  <si>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</si>
  <si>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</si>
  <si>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</si>
  <si>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</si>
  <si>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</si>
  <si>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</si>
  <si>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</si>
  <si>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</si>
  <si>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</si>
  <si>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</si>
  <si>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</si>
  <si>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</si>
  <si>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</si>
  <si>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</si>
  <si>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</si>
  <si>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</si>
  <si>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</si>
  <si>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</si>
  <si>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</si>
  <si>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</si>
  <si>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</si>
  <si>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</si>
  <si>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</si>
  <si>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</si>
  <si>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</si>
  <si>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</si>
  <si>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</si>
  <si>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</si>
  <si>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</si>
  <si>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</si>
  <si>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</si>
  <si>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</si>
  <si>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</si>
  <si>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</si>
  <si>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</si>
  <si>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</si>
  <si>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</si>
  <si>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</si>
  <si>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</si>
  <si>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</si>
  <si>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</si>
  <si>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</si>
  <si>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</si>
  <si>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</si>
  <si>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</si>
  <si>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</si>
  <si>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</si>
  <si>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</si>
  <si>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</si>
  <si>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</si>
  <si>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</si>
  <si>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</si>
  <si>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</si>
  <si>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</si>
  <si>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</si>
  <si>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</si>
  <si>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</si>
  <si>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</si>
  <si>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</si>
  <si>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</si>
  <si>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</si>
  <si>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</si>
  <si>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</si>
  <si>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</si>
  <si>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</si>
  <si>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</si>
  <si>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</si>
  <si>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</si>
  <si>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</si>
  <si>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</si>
  <si>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</si>
  <si>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</si>
  <si>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</si>
  <si>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</si>
  <si>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</si>
  <si>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</si>
  <si>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</si>
  <si>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</si>
  <si>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</si>
  <si>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</si>
  <si>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</si>
  <si>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</si>
  <si>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</si>
  <si>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</si>
  <si>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</si>
  <si>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</si>
  <si>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</si>
  <si>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</si>
  <si>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</si>
  <si>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</si>
  <si>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</si>
  <si>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</si>
  <si>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</si>
  <si>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</si>
  <si>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</si>
  <si>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</si>
  <si>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</si>
  <si>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</si>
  <si>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</si>
  <si>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</si>
  <si>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</si>
  <si>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</si>
  <si>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</si>
  <si>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</si>
  <si>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</si>
  <si>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</si>
  <si>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</si>
  <si>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</si>
  <si>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</si>
  <si>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</si>
  <si>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</si>
  <si>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</si>
  <si>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</si>
  <si>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</si>
  <si>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</si>
  <si>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</si>
  <si>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</si>
  <si>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</si>
  <si>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</si>
  <si>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</si>
  <si>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</si>
  <si>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</si>
  <si>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</si>
  <si>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</si>
  <si>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</si>
  <si>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</si>
  <si>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</si>
  <si>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</si>
  <si>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</si>
  <si>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</si>
  <si>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</si>
  <si>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</si>
  <si>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</si>
  <si>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</si>
  <si>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</si>
  <si>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</si>
  <si>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</si>
  <si>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</si>
  <si>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</si>
  <si>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</si>
  <si>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</si>
  <si>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</si>
  <si>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</si>
  <si>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</si>
  <si>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</si>
  <si>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</si>
  <si>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</si>
  <si>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</si>
  <si>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</si>
  <si>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</si>
  <si>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</si>
  <si>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</si>
  <si>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</si>
  <si>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</si>
  <si>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</si>
  <si>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</si>
  <si>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</si>
  <si>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</si>
  <si>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</si>
  <si>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</si>
  <si>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</si>
  <si>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</si>
  <si>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</si>
  <si>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</si>
  <si>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</si>
  <si>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</si>
  <si>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</si>
  <si>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</si>
  <si>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</si>
  <si>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</si>
  <si>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</si>
  <si>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</si>
  <si>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</si>
  <si>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</si>
  <si>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</si>
  <si>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</si>
  <si>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</si>
  <si>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</si>
  <si>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</si>
  <si>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</si>
  <si>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</si>
  <si>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</si>
  <si>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</si>
  <si>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</si>
  <si>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</si>
  <si>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</si>
  <si>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</si>
  <si>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</si>
  <si>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</si>
  <si>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</si>
  <si>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</si>
  <si>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</si>
  <si>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</si>
  <si>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</si>
  <si>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</si>
  <si>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</si>
  <si>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</si>
  <si>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</si>
  <si>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</si>
  <si>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</si>
  <si>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</si>
  <si>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</si>
  <si>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</si>
  <si>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</si>
  <si>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</si>
  <si>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</si>
  <si>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</si>
  <si>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</si>
  <si>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</si>
  <si>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</si>
  <si>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</si>
  <si>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</si>
  <si>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</si>
  <si>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</si>
  <si>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</si>
  <si>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</si>
  <si>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</si>
  <si>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</si>
  <si>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</si>
  <si>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</si>
  <si>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</si>
  <si>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</si>
  <si>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</si>
  <si>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</si>
  <si>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</si>
  <si>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</si>
  <si>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</si>
  <si>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</si>
  <si>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</si>
  <si>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</si>
  <si>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</si>
  <si>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</si>
  <si>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</si>
  <si>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</si>
  <si>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</si>
  <si>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</si>
  <si>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</si>
  <si>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</si>
  <si>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</si>
  <si>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</si>
  <si>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</si>
  <si>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</si>
  <si>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</si>
  <si>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</si>
  <si>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</si>
  <si>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</si>
  <si>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</si>
  <si>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</si>
  <si>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</si>
  <si>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</si>
  <si>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</si>
  <si>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</si>
  <si>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</si>
  <si>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</si>
  <si>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</si>
  <si>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</si>
  <si>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</si>
  <si>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</si>
  <si>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</si>
  <si>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</si>
  <si>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</si>
  <si>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</si>
  <si>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</si>
  <si>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</si>
  <si>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</si>
  <si>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</si>
  <si>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</si>
  <si>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</si>
  <si>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</si>
  <si>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</si>
  <si>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</si>
  <si>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</si>
  <si>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</si>
  <si>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</si>
  <si>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</si>
  <si>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</si>
  <si>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</si>
  <si>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</si>
  <si>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</si>
  <si>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</si>
  <si>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</si>
  <si>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</si>
  <si>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</si>
  <si>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</si>
  <si>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</si>
  <si>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</si>
  <si>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</si>
  <si>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</si>
  <si>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</si>
  <si>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</si>
  <si>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</si>
  <si>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</si>
  <si>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</si>
  <si>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</si>
  <si>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</si>
  <si>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</si>
  <si>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</si>
  <si>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</si>
  <si>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</si>
  <si>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</si>
  <si>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</si>
  <si>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</si>
  <si>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</si>
  <si>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</si>
  <si>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</si>
  <si>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</si>
  <si>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</si>
  <si>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</si>
  <si>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</si>
  <si>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</si>
  <si>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</si>
  <si>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</si>
  <si>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</si>
  <si>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</si>
  <si>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</si>
  <si>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</si>
  <si>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</si>
  <si>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</si>
  <si>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</si>
  <si>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</si>
  <si>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</si>
  <si>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</si>
  <si>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</si>
  <si>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</si>
  <si>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</si>
  <si>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</si>
  <si>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</si>
  <si>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</si>
  <si>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</si>
  <si>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</si>
  <si>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</si>
  <si>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</si>
  <si>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</si>
  <si>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</si>
  <si>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</si>
  <si>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</si>
  <si>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</si>
  <si>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</si>
  <si>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</si>
  <si>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</si>
  <si>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</si>
  <si>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</si>
  <si>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</si>
  <si>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</si>
  <si>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</si>
  <si>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</si>
  <si>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</si>
  <si>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</si>
  <si>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</si>
  <si>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</si>
  <si>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</si>
  <si>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</si>
  <si>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</si>
  <si>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</si>
  <si>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</si>
  <si>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</si>
  <si>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</si>
  <si>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</si>
  <si>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</si>
  <si>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</si>
  <si>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</si>
  <si>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</si>
  <si>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</si>
  <si>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</si>
  <si>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</si>
  <si>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</si>
  <si>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</si>
  <si>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</si>
  <si>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</si>
  <si>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</si>
  <si>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</si>
  <si>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</si>
  <si>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</si>
  <si>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</si>
  <si>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</si>
  <si>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</si>
  <si>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</si>
  <si>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</si>
  <si>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</si>
  <si>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</si>
  <si>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</si>
  <si>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</si>
  <si>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</si>
  <si>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</si>
  <si>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</si>
  <si>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</si>
  <si>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</si>
  <si>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</si>
  <si>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</si>
  <si>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</si>
  <si>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</si>
  <si>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</si>
  <si>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</si>
  <si>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</si>
  <si>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</si>
  <si>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</si>
  <si>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</si>
  <si>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</si>
  <si>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</si>
  <si>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</si>
  <si>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</si>
  <si>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</si>
  <si>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</si>
  <si>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</si>
  <si>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</si>
  <si>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</si>
  <si>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</si>
  <si>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</si>
  <si>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</si>
  <si>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</si>
  <si>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MUNICÍPIO DE CÉU AZUL</t>
  </si>
  <si>
    <t>GUSTAVO FRANCESCHINI</t>
  </si>
  <si>
    <t>126178/D - PR</t>
  </si>
  <si>
    <t>GERMANO BONAMIGO</t>
  </si>
  <si>
    <t>PREFEITO</t>
  </si>
  <si>
    <t>PAV-77</t>
  </si>
  <si>
    <t>DER</t>
  </si>
  <si>
    <t>DETALHAMENTO CONFORME PROJETO</t>
  </si>
  <si>
    <t>DAER/RS</t>
  </si>
  <si>
    <t>74022/53</t>
  </si>
  <si>
    <t>74022/56</t>
  </si>
  <si>
    <t>3.20</t>
  </si>
  <si>
    <t>SINAPI-I</t>
  </si>
  <si>
    <t>4813</t>
  </si>
  <si>
    <t>ENGENHEIRO CIVIL</t>
  </si>
  <si>
    <t>Análise Concluída / A Licitar</t>
  </si>
  <si>
    <t>PM - CURITIBA</t>
  </si>
  <si>
    <t>561100-S</t>
  </si>
  <si>
    <t>561100-E</t>
  </si>
  <si>
    <t>DER - MAT</t>
  </si>
  <si>
    <t>170500</t>
  </si>
  <si>
    <t>PM - CASCAVEL</t>
  </si>
  <si>
    <t>570000D</t>
  </si>
  <si>
    <t>820000F</t>
  </si>
  <si>
    <t>820000H</t>
  </si>
  <si>
    <t>822000B</t>
  </si>
  <si>
    <t>822000A</t>
  </si>
  <si>
    <t>7.1</t>
  </si>
  <si>
    <t>7.4</t>
  </si>
  <si>
    <t>SEIL/2016</t>
  </si>
  <si>
    <t>FRENTE 01 = 1 PLACA                     FRENTE 02 = 2 PLACAS                     FRENTE 03 = 2 PLACAS               FRENTE 04 = 2 PLACAS            FRENTE 05 = 2 PLACAS                   TOTAL = 9 PLACAS</t>
  </si>
  <si>
    <t>PLACA DE OBRA 2,00 X 1,125 = 2,25 M2</t>
  </si>
  <si>
    <t>RECAPE ASFÁLTICO NO MUNICÍPIO DE CÉU AZUL</t>
  </si>
  <si>
    <t>RECAPE ASFÁLTICO EM DIVERSAS RUAS DO MUNICÍPIO</t>
  </si>
  <si>
    <t>1720202981529</t>
  </si>
  <si>
    <t>820000H1</t>
  </si>
  <si>
    <t>600300</t>
  </si>
  <si>
    <t>610400a</t>
  </si>
  <si>
    <t>601200</t>
  </si>
  <si>
    <t>600310</t>
  </si>
  <si>
    <t>80000C</t>
  </si>
  <si>
    <t>BLSM120</t>
  </si>
  <si>
    <t>TRAVESSA DOS SÁBIAS (ENTRE A RUA BELO HORIZONTE X RUA SÃO SALVADOR)</t>
  </si>
  <si>
    <t>AVENIDA IGUAÇU (ENTRE A RUA NITERÓI X RUA BELO HORIZONTE)</t>
  </si>
  <si>
    <t>RUA BELO HORIZONTE (ENTRE A TRAVESSA DOS SÁBIAS X RUA SÃO LUIZ)</t>
  </si>
  <si>
    <t>RUA DOS EUCALIPTOS (ENTRE A RUA NITERÓI X RUA BELO HORIZONTE)</t>
  </si>
  <si>
    <t>RUA SÃO LUIZ (RUA NITERÓI X RUA SÃO SALVADOR)</t>
  </si>
  <si>
    <t>RUA SÃO SALVADOR (ENTRE A RUA JOÃO PESSOA ATÉ O FINAL)</t>
  </si>
  <si>
    <t>AVENIDA MARECHAL CÂNDIDO DO RONDON (ENTRE A RUA NITERÓI X RUA SÃO SALVADOR)</t>
  </si>
  <si>
    <t>FRENTE 01 = 796,83 M2                     FRENTE 02 = 903,06 M2                     FRENTE 03 = 931,00 M2              FRENTE 04 = 692,05 M2            FRENTE 05 = 1.444,21 M2           FRENTE 06 = 1.135,77 M2           FRENTE 07 = 1.466,55 M2               TOTAL = 7.369,47 M2</t>
  </si>
  <si>
    <t>IDEM LIMPEZA E LAVAGEM DA PISTA</t>
  </si>
  <si>
    <t>FRENTE 01 = 796,83 X 0,015 X 2,586 = 30,91 TON                                         FRENTE 02 = 903,06 X 0,015 X 2,586 = 35,03 TON              FRENTE 03 = 931,00 X 0,015 X 2,586 = 36,11 TON            FRENTE 04 = 692,05 X 0,015 X 2,586 = 26,84 TON               FRENTE 05 = 1.444,21 X 0,015 X 2,586 = 56,02 TON                 FRENTE 06 = 1.135,77 X 0,015 X 2,586 = 44,06 TON                FRENTE 07 = 4.466,55 X 0,015 X 2,586 = 56,89 TON                         TOTAL = 285,86 TON</t>
  </si>
  <si>
    <t>QUANTIDADE DE CBUQ X 4,9%</t>
  </si>
  <si>
    <t>ÁREA DA PISTA X 0,0005 TON</t>
  </si>
  <si>
    <t>FRENTE 01 = 796,83 X 0,04 X 2,586 = 82,42 TON                                         FRENTE 02 = 903,06 X 0,04 X 2,586 = 70,06 TON              FRENTE 03 = 931,00 X 0,04 X 2,586 = 96,30 TON            FRENTE 04 = 692,05 X 0,04 X 2,586 = 71,59 TON               FRENTE 05 = 1.444,21 X 0,04 X 2,586 = 149,39 TON                 FRENTE 06 = 1.135,77 X 0,04 X 2,586 = 117,48 TON                FRENTE 07 = 4.466,55 X 0,04 X 2,586 = 151,70 TON                         TOTAL = 738,94 TON</t>
  </si>
  <si>
    <t>1720204868649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</si>
</sst>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7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Segoe U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b/>
      <sz val="9"/>
      <color indexed="8"/>
      <name val="Segoe UI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6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8" fillId="0" borderId="0" applyFill="0" applyBorder="0" applyAlignment="0" applyProtection="0"/>
    <xf numFmtId="164" fontId="58" fillId="0" borderId="0" applyFill="0" applyBorder="0" applyAlignment="0" applyProtection="0"/>
    <xf numFmtId="0" fontId="9" fillId="6" borderId="0" applyNumberFormat="0" applyBorder="0" applyAlignment="0" applyProtection="0"/>
    <xf numFmtId="0" fontId="58" fillId="0" borderId="0"/>
    <xf numFmtId="0" fontId="1" fillId="0" borderId="0"/>
    <xf numFmtId="0" fontId="10" fillId="0" borderId="0"/>
    <xf numFmtId="0" fontId="58" fillId="5" borderId="4" applyNumberFormat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8" fillId="0" borderId="0" applyFill="0" applyBorder="0" applyAlignment="0" applyProtection="0"/>
    <xf numFmtId="165" fontId="58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8" fillId="0" borderId="12" xfId="0" applyFont="1" applyBorder="1" applyAlignment="1">
      <alignment horizontal="left"/>
    </xf>
    <xf numFmtId="0" fontId="0" fillId="0" borderId="29" xfId="0" applyBorder="1"/>
    <xf numFmtId="0" fontId="29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30" fillId="0" borderId="12" xfId="0" applyFont="1" applyBorder="1"/>
    <xf numFmtId="0" fontId="29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1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2" fillId="0" borderId="32" xfId="35" applyFont="1" applyBorder="1" applyAlignment="1" applyProtection="1">
      <alignment horizontal="center" vertical="center"/>
    </xf>
    <xf numFmtId="10" fontId="32" fillId="6" borderId="32" xfId="35" applyNumberFormat="1" applyFont="1" applyFill="1" applyBorder="1" applyAlignment="1" applyProtection="1">
      <alignment horizontal="center" vertical="center"/>
      <protection locked="0"/>
    </xf>
    <xf numFmtId="10" fontId="32" fillId="0" borderId="32" xfId="35" applyNumberFormat="1" applyFont="1" applyFill="1" applyBorder="1" applyAlignment="1" applyProtection="1">
      <alignment horizontal="center" vertical="center"/>
    </xf>
    <xf numFmtId="10" fontId="32" fillId="0" borderId="32" xfId="35" applyNumberFormat="1" applyFont="1" applyFill="1" applyBorder="1" applyAlignment="1" applyProtection="1">
      <alignment horizontal="center" vertical="center" wrapText="1"/>
    </xf>
    <xf numFmtId="0" fontId="32" fillId="0" borderId="32" xfId="35" applyFont="1" applyFill="1" applyBorder="1" applyAlignment="1" applyProtection="1">
      <alignment horizontal="center" vertical="center" wrapText="1"/>
    </xf>
    <xf numFmtId="0" fontId="32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3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5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top"/>
    </xf>
    <xf numFmtId="0" fontId="37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2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2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8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9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40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4" fillId="0" borderId="34" xfId="0" applyFont="1" applyBorder="1" applyAlignment="1" applyProtection="1">
      <alignment horizontal="center" vertical="center" wrapText="1"/>
    </xf>
    <xf numFmtId="0" fontId="45" fillId="0" borderId="0" xfId="0" applyFont="1"/>
    <xf numFmtId="0" fontId="24" fillId="0" borderId="14" xfId="0" applyFont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7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1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1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2" fillId="0" borderId="0" xfId="0" applyFont="1"/>
    <xf numFmtId="0" fontId="32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2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indent="10"/>
    </xf>
    <xf numFmtId="0" fontId="39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4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9" fillId="0" borderId="0" xfId="0" applyFont="1"/>
    <xf numFmtId="1" fontId="46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8" fillId="0" borderId="32" xfId="0" applyFont="1" applyBorder="1" applyAlignment="1">
      <alignment horizontal="center" vertical="center"/>
    </xf>
    <xf numFmtId="171" fontId="58" fillId="0" borderId="32" xfId="50" applyFill="1" applyBorder="1" applyAlignment="1" applyProtection="1"/>
    <xf numFmtId="0" fontId="48" fillId="19" borderId="32" xfId="0" applyFont="1" applyFill="1" applyBorder="1" applyAlignment="1">
      <alignment horizontal="center" vertical="center"/>
    </xf>
    <xf numFmtId="171" fontId="58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8" fillId="0" borderId="0" xfId="36" applyFont="1" applyAlignment="1">
      <alignment horizontal="center"/>
    </xf>
    <xf numFmtId="0" fontId="48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9" fillId="0" borderId="58" xfId="40" applyNumberFormat="1" applyFont="1" applyFill="1" applyBorder="1" applyAlignment="1" applyProtection="1">
      <alignment horizontal="center"/>
    </xf>
    <xf numFmtId="10" fontId="48" fillId="0" borderId="34" xfId="36" applyNumberFormat="1" applyFont="1" applyBorder="1" applyAlignment="1">
      <alignment horizontal="center"/>
    </xf>
    <xf numFmtId="172" fontId="48" fillId="0" borderId="59" xfId="36" applyNumberFormat="1" applyFont="1" applyBorder="1" applyAlignment="1">
      <alignment horizontal="left"/>
    </xf>
    <xf numFmtId="10" fontId="48" fillId="0" borderId="60" xfId="36" applyNumberFormat="1" applyFont="1" applyBorder="1" applyAlignment="1">
      <alignment horizontal="left"/>
    </xf>
    <xf numFmtId="1" fontId="48" fillId="0" borderId="60" xfId="36" applyNumberFormat="1" applyFont="1" applyBorder="1" applyAlignment="1">
      <alignment horizontal="center"/>
    </xf>
    <xf numFmtId="0" fontId="48" fillId="0" borderId="60" xfId="36" applyFont="1" applyBorder="1" applyAlignment="1">
      <alignment horizontal="center"/>
    </xf>
    <xf numFmtId="173" fontId="58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9" fillId="0" borderId="62" xfId="40" applyNumberFormat="1" applyFont="1" applyFill="1" applyBorder="1" applyAlignment="1" applyProtection="1">
      <alignment horizontal="center"/>
    </xf>
    <xf numFmtId="10" fontId="49" fillId="0" borderId="63" xfId="40" applyNumberFormat="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8" fillId="0" borderId="64" xfId="36" applyFont="1" applyBorder="1"/>
    <xf numFmtId="0" fontId="34" fillId="0" borderId="64" xfId="36" applyFont="1" applyBorder="1" applyAlignment="1"/>
    <xf numFmtId="0" fontId="48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50" fillId="0" borderId="65" xfId="51" applyFont="1" applyFill="1" applyBorder="1" applyAlignment="1" applyProtection="1">
      <alignment horizontal="center"/>
    </xf>
    <xf numFmtId="0" fontId="48" fillId="0" borderId="14" xfId="36" applyFont="1" applyBorder="1" applyAlignment="1">
      <alignment horizontal="center"/>
    </xf>
    <xf numFmtId="165" fontId="50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50" fillId="0" borderId="56" xfId="51" applyFont="1" applyFill="1" applyBorder="1" applyAlignment="1" applyProtection="1">
      <alignment horizontal="center"/>
    </xf>
    <xf numFmtId="165" fontId="50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8" fillId="0" borderId="0" xfId="36" applyFont="1" applyBorder="1"/>
    <xf numFmtId="0" fontId="48" fillId="0" borderId="0" xfId="36" applyFont="1" applyBorder="1" applyAlignment="1">
      <alignment horizontal="center"/>
    </xf>
    <xf numFmtId="0" fontId="41" fillId="0" borderId="0" xfId="0" applyFont="1" applyAlignment="1">
      <alignment horizontal="center" textRotation="90"/>
    </xf>
    <xf numFmtId="0" fontId="51" fillId="0" borderId="33" xfId="36" applyFont="1" applyBorder="1"/>
    <xf numFmtId="0" fontId="48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51" fillId="0" borderId="31" xfId="36" applyFont="1" applyBorder="1" applyAlignment="1">
      <alignment horizontal="center"/>
    </xf>
    <xf numFmtId="0" fontId="48" fillId="0" borderId="47" xfId="36" applyFont="1" applyBorder="1" applyAlignment="1"/>
    <xf numFmtId="0" fontId="48" fillId="0" borderId="14" xfId="36" applyNumberFormat="1" applyFont="1" applyBorder="1" applyAlignment="1">
      <alignment horizontal="center"/>
    </xf>
    <xf numFmtId="0" fontId="48" fillId="17" borderId="32" xfId="36" applyFont="1" applyFill="1" applyBorder="1" applyAlignment="1" applyProtection="1">
      <alignment horizontal="center"/>
      <protection locked="0"/>
    </xf>
    <xf numFmtId="0" fontId="48" fillId="0" borderId="30" xfId="36" applyFont="1" applyBorder="1" applyAlignment="1"/>
    <xf numFmtId="0" fontId="51" fillId="0" borderId="50" xfId="36" applyFont="1" applyBorder="1" applyAlignment="1">
      <alignment horizontal="center"/>
    </xf>
    <xf numFmtId="0" fontId="51" fillId="0" borderId="10" xfId="36" applyFont="1" applyBorder="1" applyAlignment="1">
      <alignment horizontal="left" vertical="center" wrapText="1"/>
    </xf>
    <xf numFmtId="0" fontId="48" fillId="0" borderId="10" xfId="36" applyFont="1" applyBorder="1" applyAlignment="1">
      <alignment horizontal="center" vertical="center"/>
    </xf>
    <xf numFmtId="0" fontId="51" fillId="0" borderId="51" xfId="36" applyFont="1" applyFill="1" applyBorder="1" applyAlignment="1" applyProtection="1">
      <alignment horizontal="center"/>
      <protection locked="0"/>
    </xf>
    <xf numFmtId="0" fontId="51" fillId="0" borderId="52" xfId="36" applyFont="1" applyBorder="1" applyAlignment="1">
      <alignment horizontal="center"/>
    </xf>
    <xf numFmtId="0" fontId="48" fillId="0" borderId="0" xfId="36" applyFont="1" applyAlignment="1">
      <alignment horizontal="center" wrapText="1"/>
    </xf>
    <xf numFmtId="174" fontId="51" fillId="0" borderId="55" xfId="36" applyNumberFormat="1" applyFont="1" applyBorder="1" applyAlignment="1">
      <alignment horizontal="center"/>
    </xf>
    <xf numFmtId="0" fontId="51" fillId="0" borderId="30" xfId="36" applyFont="1" applyBorder="1" applyAlignment="1">
      <alignment horizontal="left" vertical="center" wrapText="1"/>
    </xf>
    <xf numFmtId="0" fontId="48" fillId="0" borderId="30" xfId="36" applyFont="1" applyBorder="1" applyAlignment="1">
      <alignment horizontal="center" vertical="center"/>
    </xf>
    <xf numFmtId="0" fontId="48" fillId="0" borderId="30" xfId="36" applyFont="1" applyBorder="1" applyAlignment="1">
      <alignment horizontal="center" vertical="center" wrapText="1"/>
    </xf>
    <xf numFmtId="174" fontId="51" fillId="0" borderId="56" xfId="36" applyNumberFormat="1" applyFont="1" applyFill="1" applyBorder="1" applyAlignment="1" applyProtection="1">
      <alignment horizontal="center"/>
      <protection locked="0"/>
    </xf>
    <xf numFmtId="174" fontId="51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8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8" fillId="0" borderId="40" xfId="50" applyFill="1" applyBorder="1" applyAlignment="1" applyProtection="1">
      <alignment shrinkToFit="1"/>
    </xf>
    <xf numFmtId="0" fontId="48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8" fillId="0" borderId="39" xfId="50" applyFill="1" applyBorder="1" applyAlignment="1" applyProtection="1">
      <alignment shrinkToFit="1"/>
    </xf>
    <xf numFmtId="171" fontId="58" fillId="0" borderId="41" xfId="50" applyFill="1" applyBorder="1" applyAlignment="1" applyProtection="1">
      <alignment shrinkToFit="1"/>
    </xf>
    <xf numFmtId="0" fontId="51" fillId="0" borderId="0" xfId="36" applyFont="1" applyAlignment="1">
      <alignment horizontal="left"/>
    </xf>
    <xf numFmtId="0" fontId="48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8" fillId="8" borderId="39" xfId="50" applyFill="1" applyBorder="1" applyAlignment="1" applyProtection="1">
      <alignment shrinkToFit="1"/>
    </xf>
    <xf numFmtId="171" fontId="58" fillId="8" borderId="40" xfId="50" applyFill="1" applyBorder="1" applyAlignment="1" applyProtection="1">
      <alignment shrinkToFit="1"/>
    </xf>
    <xf numFmtId="171" fontId="58" fillId="8" borderId="41" xfId="50" applyFill="1" applyBorder="1" applyAlignment="1" applyProtection="1">
      <alignment shrinkToFit="1"/>
    </xf>
    <xf numFmtId="171" fontId="58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8" fillId="0" borderId="70" xfId="50" applyFill="1" applyBorder="1" applyAlignment="1" applyProtection="1">
      <alignment shrinkToFit="1"/>
    </xf>
    <xf numFmtId="171" fontId="58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8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8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3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8" fillId="20" borderId="32" xfId="36" applyFont="1" applyFill="1" applyBorder="1" applyAlignment="1">
      <alignment horizontal="center"/>
    </xf>
    <xf numFmtId="0" fontId="51" fillId="0" borderId="12" xfId="36" applyFont="1" applyBorder="1"/>
    <xf numFmtId="0" fontId="48" fillId="0" borderId="12" xfId="36" applyFont="1" applyBorder="1" applyAlignment="1">
      <alignment horizontal="center"/>
    </xf>
    <xf numFmtId="0" fontId="0" fillId="0" borderId="33" xfId="0" applyBorder="1"/>
    <xf numFmtId="0" fontId="54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9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5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7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8" fillId="0" borderId="0" xfId="50" applyFill="1" applyBorder="1" applyAlignment="1" applyProtection="1"/>
    <xf numFmtId="0" fontId="61" fillId="0" borderId="0" xfId="0" applyFont="1" applyAlignment="1">
      <alignment horizontal="center"/>
    </xf>
    <xf numFmtId="0" fontId="0" fillId="0" borderId="0" xfId="0" applyFill="1" applyBorder="1"/>
    <xf numFmtId="0" fontId="61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61" fillId="0" borderId="0" xfId="0" applyFont="1"/>
    <xf numFmtId="0" fontId="0" fillId="0" borderId="45" xfId="0" applyFont="1" applyFill="1" applyBorder="1"/>
    <xf numFmtId="0" fontId="49" fillId="0" borderId="0" xfId="0" applyFont="1" applyFill="1" applyAlignment="1">
      <alignment horizontal="center"/>
    </xf>
    <xf numFmtId="0" fontId="49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4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8" fillId="24" borderId="45" xfId="36" applyFont="1" applyFill="1" applyBorder="1"/>
    <xf numFmtId="0" fontId="48" fillId="22" borderId="0" xfId="36" applyFont="1" applyFill="1"/>
    <xf numFmtId="0" fontId="48" fillId="23" borderId="32" xfId="36" applyFont="1" applyFill="1" applyBorder="1" applyAlignment="1">
      <alignment horizontal="center"/>
    </xf>
    <xf numFmtId="0" fontId="48" fillId="23" borderId="13" xfId="36" applyFont="1" applyFill="1" applyBorder="1"/>
    <xf numFmtId="0" fontId="48" fillId="23" borderId="45" xfId="36" applyFont="1" applyFill="1" applyBorder="1"/>
    <xf numFmtId="0" fontId="48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8" fillId="23" borderId="46" xfId="36" applyFont="1" applyFill="1" applyBorder="1"/>
    <xf numFmtId="0" fontId="48" fillId="22" borderId="13" xfId="36" applyFont="1" applyFill="1" applyBorder="1" applyAlignment="1">
      <alignment horizontal="center"/>
    </xf>
    <xf numFmtId="0" fontId="48" fillId="22" borderId="46" xfId="36" applyFont="1" applyFill="1" applyBorder="1" applyAlignment="1">
      <alignment horizontal="center"/>
    </xf>
    <xf numFmtId="0" fontId="48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9" fillId="0" borderId="97" xfId="40" applyNumberFormat="1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63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8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30" fillId="0" borderId="102" xfId="0" applyFont="1" applyBorder="1"/>
    <xf numFmtId="0" fontId="29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5" fillId="0" borderId="103" xfId="40" applyNumberFormat="1" applyFont="1" applyFill="1" applyBorder="1" applyAlignment="1" applyProtection="1">
      <alignment horizontal="center"/>
      <protection locked="0"/>
    </xf>
    <xf numFmtId="10" fontId="65" fillId="0" borderId="104" xfId="40" applyNumberFormat="1" applyFont="1" applyFill="1" applyBorder="1" applyAlignment="1" applyProtection="1">
      <alignment horizontal="center"/>
      <protection locked="0"/>
    </xf>
    <xf numFmtId="10" fontId="65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60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9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8" fillId="28" borderId="0" xfId="35" applyNumberFormat="1" applyFont="1" applyFill="1" applyBorder="1" applyAlignment="1" applyProtection="1">
      <alignment horizontal="left"/>
    </xf>
    <xf numFmtId="0" fontId="68" fillId="28" borderId="0" xfId="35" applyFont="1" applyFill="1" applyBorder="1" applyAlignment="1" applyProtection="1">
      <alignment horizontal="left"/>
    </xf>
    <xf numFmtId="0" fontId="68" fillId="29" borderId="0" xfId="35" applyFont="1" applyFill="1" applyBorder="1" applyAlignment="1" applyProtection="1">
      <alignment vertical="top"/>
      <protection locked="0"/>
    </xf>
    <xf numFmtId="0" fontId="69" fillId="28" borderId="0" xfId="35" applyFont="1" applyFill="1" applyBorder="1" applyAlignment="1" applyProtection="1">
      <alignment vertical="top"/>
    </xf>
    <xf numFmtId="0" fontId="68" fillId="28" borderId="0" xfId="35" applyFont="1" applyFill="1" applyBorder="1" applyAlignment="1" applyProtection="1">
      <alignment horizontal="left" vertical="top"/>
    </xf>
    <xf numFmtId="0" fontId="68" fillId="28" borderId="0" xfId="35" applyFont="1" applyFill="1" applyBorder="1" applyAlignment="1" applyProtection="1">
      <alignment vertical="center"/>
    </xf>
    <xf numFmtId="0" fontId="68" fillId="29" borderId="0" xfId="35" applyFont="1" applyFill="1" applyBorder="1" applyAlignment="1" applyProtection="1">
      <alignment vertical="top" wrapText="1"/>
      <protection locked="0"/>
    </xf>
    <xf numFmtId="0" fontId="68" fillId="28" borderId="0" xfId="35" applyFont="1" applyFill="1" applyBorder="1" applyAlignment="1" applyProtection="1">
      <alignment vertical="top" wrapText="1"/>
    </xf>
    <xf numFmtId="0" fontId="68" fillId="28" borderId="0" xfId="35" applyFont="1" applyFill="1" applyBorder="1" applyAlignment="1" applyProtection="1"/>
    <xf numFmtId="0" fontId="68" fillId="28" borderId="0" xfId="35" applyFont="1" applyFill="1" applyBorder="1" applyProtection="1"/>
    <xf numFmtId="0" fontId="68" fillId="28" borderId="0" xfId="35" applyFont="1" applyFill="1" applyBorder="1"/>
    <xf numFmtId="0" fontId="68" fillId="28" borderId="0" xfId="0" applyFont="1" applyFill="1" applyBorder="1"/>
    <xf numFmtId="180" fontId="69" fillId="28" borderId="0" xfId="50" applyNumberFormat="1" applyFont="1" applyFill="1" applyBorder="1" applyAlignment="1" applyProtection="1">
      <alignment vertical="top" shrinkToFit="1"/>
    </xf>
    <xf numFmtId="180" fontId="69" fillId="28" borderId="0" xfId="50" applyNumberFormat="1" applyFont="1" applyFill="1" applyBorder="1" applyAlignment="1" applyProtection="1">
      <alignment horizontal="right" vertical="top" shrinkToFit="1"/>
    </xf>
    <xf numFmtId="10" fontId="69" fillId="28" borderId="0" xfId="39" applyNumberFormat="1" applyFont="1" applyFill="1" applyBorder="1" applyAlignment="1" applyProtection="1">
      <alignment horizontal="right" vertical="top" shrinkToFit="1"/>
    </xf>
    <xf numFmtId="0" fontId="68" fillId="28" borderId="0" xfId="0" applyFont="1" applyFill="1" applyBorder="1" applyProtection="1"/>
    <xf numFmtId="171" fontId="70" fillId="28" borderId="0" xfId="50" applyFont="1" applyFill="1" applyBorder="1" applyAlignment="1" applyProtection="1"/>
    <xf numFmtId="0" fontId="68" fillId="30" borderId="0" xfId="0" applyFont="1" applyFill="1" applyBorder="1" applyAlignment="1">
      <alignment horizontal="center"/>
    </xf>
    <xf numFmtId="4" fontId="68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8" fillId="28" borderId="0" xfId="0" applyFont="1" applyFill="1" applyBorder="1" applyAlignment="1" applyProtection="1">
      <alignment horizontal="center"/>
    </xf>
    <xf numFmtId="0" fontId="69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2" fillId="8" borderId="32" xfId="35" applyFont="1" applyFill="1" applyBorder="1" applyAlignment="1" applyProtection="1">
      <alignment horizontal="center" vertical="center" wrapText="1"/>
    </xf>
    <xf numFmtId="0" fontId="34" fillId="0" borderId="0" xfId="35" applyFont="1" applyBorder="1" applyAlignment="1" applyProtection="1">
      <alignment horizontal="left" vertical="center" indent="1"/>
    </xf>
    <xf numFmtId="0" fontId="41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4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1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9" fillId="0" borderId="0" xfId="0" applyFont="1" applyBorder="1" applyAlignment="1">
      <alignment horizontal="left" vertical="center" indent="10"/>
    </xf>
    <xf numFmtId="0" fontId="48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8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8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8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8" fillId="0" borderId="0" xfId="36" applyFont="1" applyBorder="1" applyAlignment="1">
      <alignment horizontal="center" wrapText="1"/>
    </xf>
    <xf numFmtId="0" fontId="52" fillId="0" borderId="11" xfId="36" applyFont="1" applyBorder="1" applyAlignment="1">
      <alignment horizontal="left" vertical="top"/>
    </xf>
    <xf numFmtId="0" fontId="48" fillId="0" borderId="32" xfId="36" applyFont="1" applyBorder="1" applyAlignment="1">
      <alignment horizontal="center" wrapText="1"/>
    </xf>
    <xf numFmtId="0" fontId="51" fillId="0" borderId="13" xfId="36" applyFont="1" applyBorder="1" applyAlignment="1">
      <alignment horizontal="center" vertical="center" wrapText="1"/>
    </xf>
    <xf numFmtId="0" fontId="51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8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8" fillId="0" borderId="30" xfId="50" applyNumberFormat="1" applyFill="1" applyBorder="1" applyAlignment="1" applyProtection="1">
      <alignment horizontal="center" shrinkToFit="1"/>
    </xf>
    <xf numFmtId="177" fontId="58" fillId="0" borderId="14" xfId="50" applyNumberFormat="1" applyFill="1" applyBorder="1" applyAlignment="1" applyProtection="1">
      <alignment horizontal="center" shrinkToFit="1"/>
    </xf>
    <xf numFmtId="10" fontId="58" fillId="0" borderId="34" xfId="39" applyNumberFormat="1" applyFill="1" applyBorder="1" applyAlignment="1" applyProtection="1">
      <alignment horizontal="center"/>
    </xf>
    <xf numFmtId="10" fontId="58" fillId="0" borderId="10" xfId="39" applyNumberFormat="1" applyFill="1" applyBorder="1" applyAlignment="1" applyProtection="1">
      <alignment horizontal="center"/>
    </xf>
    <xf numFmtId="10" fontId="58" fillId="0" borderId="31" xfId="39" applyNumberFormat="1" applyFill="1" applyBorder="1" applyAlignment="1" applyProtection="1">
      <alignment horizontal="center"/>
    </xf>
    <xf numFmtId="10" fontId="58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8" fillId="0" borderId="33" xfId="39" applyNumberFormat="1" applyFill="1" applyBorder="1" applyAlignment="1" applyProtection="1">
      <alignment horizontal="center"/>
    </xf>
    <xf numFmtId="177" fontId="58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51" fillId="0" borderId="31" xfId="36" applyFont="1" applyBorder="1" applyAlignment="1">
      <alignment horizontal="center"/>
    </xf>
    <xf numFmtId="0" fontId="62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8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5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2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3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2" fillId="6" borderId="33" xfId="0" applyFont="1" applyFill="1" applyBorder="1" applyAlignment="1" applyProtection="1">
      <alignment horizontal="left" vertical="top" wrapText="1"/>
      <protection locked="0"/>
    </xf>
    <xf numFmtId="0" fontId="32" fillId="6" borderId="0" xfId="0" applyFont="1" applyFill="1" applyBorder="1" applyAlignment="1" applyProtection="1">
      <alignment horizontal="left" vertical="top" wrapText="1"/>
      <protection locked="0"/>
    </xf>
    <xf numFmtId="0" fontId="32" fillId="6" borderId="12" xfId="0" applyFont="1" applyFill="1" applyBorder="1" applyAlignment="1" applyProtection="1">
      <alignment horizontal="left" vertical="top" wrapText="1"/>
      <protection locked="0"/>
    </xf>
    <xf numFmtId="0" fontId="32" fillId="6" borderId="47" xfId="0" applyFont="1" applyFill="1" applyBorder="1" applyAlignment="1" applyProtection="1">
      <alignment horizontal="left" vertical="top" wrapText="1"/>
      <protection locked="0"/>
    </xf>
    <xf numFmtId="0" fontId="32" fillId="6" borderId="30" xfId="0" applyFont="1" applyFill="1" applyBorder="1" applyAlignment="1" applyProtection="1">
      <alignment horizontal="left" vertical="top" wrapText="1"/>
      <protection locked="0"/>
    </xf>
    <xf numFmtId="0" fontId="32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5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8" fillId="28" borderId="0" xfId="35" applyNumberFormat="1" applyFont="1" applyFill="1" applyBorder="1" applyAlignment="1" applyProtection="1">
      <alignment horizontal="left" vertical="top"/>
    </xf>
    <xf numFmtId="0" fontId="68" fillId="28" borderId="0" xfId="0" applyFont="1" applyFill="1" applyBorder="1"/>
    <xf numFmtId="0" fontId="68" fillId="28" borderId="0" xfId="35" applyFont="1" applyFill="1" applyBorder="1" applyAlignment="1" applyProtection="1">
      <alignment horizontal="right"/>
    </xf>
    <xf numFmtId="180" fontId="69" fillId="28" borderId="0" xfId="50" applyNumberFormat="1" applyFont="1" applyFill="1" applyBorder="1" applyAlignment="1" applyProtection="1">
      <alignment vertical="top" shrinkToFit="1"/>
    </xf>
    <xf numFmtId="10" fontId="69" fillId="28" borderId="0" xfId="39" applyNumberFormat="1" applyFont="1" applyFill="1" applyBorder="1" applyAlignment="1" applyProtection="1">
      <alignment horizontal="right" vertical="top" shrinkToFit="1"/>
    </xf>
    <xf numFmtId="0" fontId="68" fillId="29" borderId="0" xfId="35" applyFont="1" applyFill="1" applyBorder="1" applyAlignment="1" applyProtection="1">
      <alignment horizontal="left" vertical="top" wrapText="1"/>
      <protection locked="0"/>
    </xf>
    <xf numFmtId="0" fontId="68" fillId="28" borderId="0" xfId="35" applyFont="1" applyFill="1" applyBorder="1" applyAlignment="1" applyProtection="1">
      <alignment horizontal="left" vertical="top" wrapText="1"/>
    </xf>
    <xf numFmtId="0" fontId="68" fillId="28" borderId="0" xfId="35" applyFont="1" applyFill="1" applyBorder="1" applyAlignment="1" applyProtection="1">
      <alignment horizontal="center"/>
    </xf>
    <xf numFmtId="0" fontId="68" fillId="28" borderId="0" xfId="35" applyFont="1" applyFill="1" applyBorder="1" applyAlignment="1" applyProtection="1">
      <alignment horizontal="left" wrapText="1"/>
    </xf>
    <xf numFmtId="0" fontId="68" fillId="28" borderId="0" xfId="35" applyNumberFormat="1" applyFont="1" applyFill="1" applyBorder="1" applyAlignment="1" applyProtection="1">
      <alignment vertical="center"/>
    </xf>
    <xf numFmtId="0" fontId="68" fillId="29" borderId="0" xfId="35" applyFont="1" applyFill="1" applyBorder="1" applyAlignment="1" applyProtection="1">
      <alignment horizontal="left" vertical="top"/>
      <protection locked="0"/>
    </xf>
    <xf numFmtId="0" fontId="68" fillId="28" borderId="0" xfId="35" applyFont="1" applyFill="1" applyBorder="1" applyAlignment="1" applyProtection="1">
      <alignment horizontal="left"/>
    </xf>
    <xf numFmtId="0" fontId="68" fillId="28" borderId="0" xfId="35" applyFont="1" applyFill="1" applyBorder="1" applyAlignment="1" applyProtection="1">
      <alignment horizontal="left" vertical="top" wrapText="1" shrinkToFit="1"/>
    </xf>
    <xf numFmtId="0" fontId="68" fillId="28" borderId="0" xfId="35" applyNumberFormat="1" applyFont="1" applyFill="1" applyBorder="1" applyAlignment="1" applyProtection="1">
      <alignment horizontal="left" vertical="top" wrapText="1"/>
    </xf>
    <xf numFmtId="0" fontId="68" fillId="28" borderId="0" xfId="35" applyFont="1" applyFill="1" applyBorder="1" applyAlignment="1" applyProtection="1">
      <alignment horizontal="center" vertical="center" wrapText="1"/>
    </xf>
    <xf numFmtId="0" fontId="69" fillId="30" borderId="0" xfId="0" applyFont="1" applyFill="1" applyBorder="1" applyAlignment="1">
      <alignment horizontal="center" vertical="center" wrapText="1"/>
    </xf>
    <xf numFmtId="49" fontId="68" fillId="29" borderId="0" xfId="35" applyNumberFormat="1" applyFont="1" applyFill="1" applyBorder="1" applyAlignment="1" applyProtection="1">
      <alignment horizontal="left"/>
      <protection locked="0"/>
    </xf>
    <xf numFmtId="168" fontId="68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9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213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grpSp>
          <xdr:nvGrpSpPr>
            <xdr:cNvPr id="20224" name="TipoOrçamento"/>
            <xdr:cNvGrpSpPr>
              <a:grpSpLocks/>
            </xdr:cNvGrpSpPr>
          </xdr:nvGrpSpPr>
          <xdr:grpSpPr bwMode="auto">
            <a:xfrm>
              <a:off x="581025" y="971550"/>
              <a:ext cx="1219200" cy="485775"/>
              <a:chOff x="523876" y="971550"/>
              <a:chExt cx="1257301" cy="485775"/>
            </a:xfrm>
          </xdr:grpSpPr>
          <xdr:sp macro="" textlink="">
            <xdr:nvSpPr>
              <xdr:cNvPr id="15377" name="Group Box 17" descr="Tipo de Orçamento          " hidden="1">
                <a:extLst>
                  <a:ext uri="{63B3BB69-23CF-44E3-9099-C40C66FF867C}">
                    <a14:compatExt spid="_x0000_s15377"/>
                  </a:ext>
                </a:extLst>
              </xdr:cNvPr>
              <xdr:cNvSpPr/>
            </xdr:nvSpPr>
            <xdr:spPr bwMode="auto">
              <a:xfrm>
                <a:off x="523876" y="971550"/>
                <a:ext cx="1257301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Tipo de Orçamento          </a:t>
                </a:r>
              </a:p>
            </xdr:txBody>
          </xdr:sp>
          <xdr:sp macro="" textlink="">
            <xdr:nvSpPr>
              <xdr:cNvPr id="15453" name="Drop Down 93" hidden="1">
                <a:extLst>
                  <a:ext uri="{63B3BB69-23CF-44E3-9099-C40C66FF867C}">
                    <a14:compatExt spid="_x0000_s15453"/>
                  </a:ext>
                </a:extLst>
              </xdr:cNvPr>
              <xdr:cNvSpPr/>
            </xdr:nvSpPr>
            <xdr:spPr bwMode="auto">
              <a:xfrm>
                <a:off x="647699" y="1133476"/>
                <a:ext cx="981076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grpSp>
          <xdr:nvGrpSpPr>
            <xdr:cNvPr id="20225" name="Acompanhamento"/>
            <xdr:cNvGrpSpPr>
              <a:grpSpLocks/>
            </xdr:cNvGrpSpPr>
          </xdr:nvGrpSpPr>
          <xdr:grpSpPr bwMode="auto">
            <a:xfrm>
              <a:off x="1895475" y="971550"/>
              <a:ext cx="1266825" cy="485775"/>
              <a:chOff x="1790701" y="971550"/>
              <a:chExt cx="1304926" cy="485775"/>
            </a:xfrm>
          </xdr:grpSpPr>
          <xdr:sp macro="" textlink="">
            <xdr:nvSpPr>
              <xdr:cNvPr id="15384" name="Group Box 24" hidden="1">
                <a:extLst>
                  <a:ext uri="{63B3BB69-23CF-44E3-9099-C40C66FF867C}">
                    <a14:compatExt spid="_x0000_s15384"/>
                  </a:ext>
                </a:extLst>
              </xdr:cNvPr>
              <xdr:cNvSpPr/>
            </xdr:nvSpPr>
            <xdr:spPr bwMode="auto">
              <a:xfrm>
                <a:off x="1790701" y="971550"/>
                <a:ext cx="1304926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Acompanhamento     </a:t>
                </a:r>
              </a:p>
            </xdr:txBody>
          </xdr:sp>
          <xdr:sp macro="" textlink="">
            <xdr:nvSpPr>
              <xdr:cNvPr id="15454" name="Drop Down 94" hidden="1">
                <a:extLst>
                  <a:ext uri="{63B3BB69-23CF-44E3-9099-C40C66FF867C}">
                    <a14:compatExt spid="_x0000_s15454"/>
                  </a:ext>
                </a:extLst>
              </xdr:cNvPr>
              <xdr:cNvSpPr/>
            </xdr:nvSpPr>
            <xdr:spPr bwMode="auto">
              <a:xfrm>
                <a:off x="1924049" y="1133475"/>
                <a:ext cx="981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4</xdr:col>
      <xdr:colOff>58566</xdr:colOff>
      <xdr:row>5</xdr:row>
      <xdr:rowOff>48529</xdr:rowOff>
    </xdr:from>
    <xdr:to>
      <xdr:col>5</xdr:col>
      <xdr:colOff>74089</xdr:colOff>
      <xdr:row>11</xdr:row>
      <xdr:rowOff>836085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066" y="916362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abSelected="1" topLeftCell="A4" zoomScaleNormal="10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437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1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05-2020.xls.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algorithmName="SHA-512" hashValue="PH92lvyDWprnjYoijiOma288szOGNaGrqgKU0mgxTtZNRX7AhCwnn4NzT6yypovH1iky/9bIouztBMu4frFwyg==" saltValue="MGr7RBAi749Kma3pNuqMWQ==" spinCount="100000" sheet="1" objects="1" scenarios="1" autoFilter="0"/>
  <mergeCells count="4">
    <mergeCell ref="B20:H20"/>
    <mergeCell ref="B8:H8"/>
    <mergeCell ref="E2:G3"/>
    <mergeCell ref="B16:H16"/>
  </mergeCells>
  <phoneticPr fontId="40" type="noConversion"/>
  <conditionalFormatting sqref="C10:G14">
    <cfRule type="expression" dxfId="1212" priority="70" stopIfTrue="1">
      <formula>TIPOORCAMENTO="Licitado"</formula>
    </cfRule>
  </conditionalFormatting>
  <conditionalFormatting sqref="C18:G18 E22:E24">
    <cfRule type="expression" dxfId="1211" priority="71" stopIfTrue="1">
      <formula>TIPOORCAMENTO&lt;&gt;"Licitado"</formula>
    </cfRule>
  </conditionalFormatting>
  <conditionalFormatting sqref="C22">
    <cfRule type="expression" dxfId="1210" priority="73" stopIfTrue="1">
      <formula>OR(TIPOORCAMENTO&lt;&gt;"Licitado",ACOMPANHAMENTO&lt;&gt;"PLE")</formula>
    </cfRule>
  </conditionalFormatting>
  <conditionalFormatting sqref="G22">
    <cfRule type="expression" dxfId="1209" priority="74" stopIfTrue="1">
      <formula>OR(TIPOORCAMENTO&lt;&gt;"Licitado",ACOMPANHAMENTO&lt;&gt;"BM")</formula>
    </cfRule>
  </conditionalFormatting>
  <conditionalFormatting sqref="B16:H16 B20:H20">
    <cfRule type="expression" dxfId="1208" priority="599" stopIfTrue="1">
      <formula>$O$3&lt;&gt;2</formula>
    </cfRule>
  </conditionalFormatting>
  <conditionalFormatting sqref="B8:H8">
    <cfRule type="expression" dxfId="1207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9" activePane="bottomLeft" state="frozen"/>
      <selection pane="bottomLeft" activeCell="G25" sqref="G25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443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437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>
        <v>462522.87</v>
      </c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x14ac:dyDescent="0.2">
      <c r="E16" s="32" t="s">
        <v>102</v>
      </c>
      <c r="F16" s="33" t="s">
        <v>475</v>
      </c>
      <c r="J16" s="15" t="s">
        <v>21</v>
      </c>
    </row>
    <row r="17" spans="5:10" x14ac:dyDescent="0.2">
      <c r="E17" s="25" t="s">
        <v>103</v>
      </c>
      <c r="F17" s="34" t="s">
        <v>476</v>
      </c>
      <c r="J17" s="15" t="s">
        <v>22</v>
      </c>
    </row>
    <row r="18" spans="5:10" x14ac:dyDescent="0.2">
      <c r="E18" s="35" t="s">
        <v>104</v>
      </c>
      <c r="F18" s="36" t="s">
        <v>436</v>
      </c>
      <c r="J18" s="15" t="s">
        <v>23</v>
      </c>
    </row>
    <row r="19" spans="5:10" x14ac:dyDescent="0.2">
      <c r="E19" s="37" t="s">
        <v>105</v>
      </c>
      <c r="F19" s="38">
        <v>43952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444</v>
      </c>
    </row>
    <row r="23" spans="5:10" x14ac:dyDescent="0.2">
      <c r="E23" s="25" t="s">
        <v>108</v>
      </c>
      <c r="F23" s="26" t="s">
        <v>445</v>
      </c>
    </row>
    <row r="24" spans="5:10" x14ac:dyDescent="0.2">
      <c r="E24" s="25" t="s">
        <v>109</v>
      </c>
      <c r="F24" s="26" t="s">
        <v>498</v>
      </c>
    </row>
    <row r="25" spans="5:10" ht="13.5" thickBot="1" x14ac:dyDescent="0.25">
      <c r="E25" s="29" t="s">
        <v>110</v>
      </c>
      <c r="F25" s="42">
        <f ca="1">TODAY()</f>
        <v>44134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446</v>
      </c>
    </row>
    <row r="29" spans="5:10" x14ac:dyDescent="0.2">
      <c r="E29" s="29" t="s">
        <v>112</v>
      </c>
      <c r="F29" s="44" t="s">
        <v>447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44134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 t="s">
        <v>444</v>
      </c>
    </row>
    <row r="51" spans="5:6" x14ac:dyDescent="0.2">
      <c r="E51" s="25" t="s">
        <v>126</v>
      </c>
      <c r="F51" s="26" t="s">
        <v>457</v>
      </c>
    </row>
    <row r="52" spans="5:6" x14ac:dyDescent="0.2">
      <c r="E52" s="25" t="s">
        <v>127</v>
      </c>
      <c r="F52" s="26" t="s">
        <v>445</v>
      </c>
    </row>
    <row r="53" spans="5:6" x14ac:dyDescent="0.2">
      <c r="E53" s="29" t="s">
        <v>128</v>
      </c>
      <c r="F53" s="51" t="s">
        <v>477</v>
      </c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algorithmName="SHA-512" hashValue="VfWI/OQq2m2tmE0qiRCOH+1VC0WCDHcasX/RgAPNQsLG7C+YKC7vZI3povwtm3nDaUHbFaZwnpS56hsTzZn/3Q==" saltValue="X9LAs8JvrUKTcHOZLFLFUw==" spinCount="100000"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40" type="noConversion"/>
  <conditionalFormatting sqref="E56:F57">
    <cfRule type="expression" dxfId="1206" priority="2" stopIfTrue="1">
      <formula>CAIXA.Modo=FALSE</formula>
    </cfRule>
  </conditionalFormatting>
  <conditionalFormatting sqref="E58:F60">
    <cfRule type="expression" dxfId="1205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algorithmName="SHA-512" hashValue="yTe5Lo54T6KZO2IylgUI/0QSIIDWvQTqaR6dLWlMn62GG5UJGonsjEYOEZ/njdZ/FcskHOHyHoaLG39Bi3QXNw==" saltValue="Y+ixHZl9azmENw9ypmzMTw==" spinCount="100000" sheet="1" objects="1" scenarios="1" autoFilter="0"/>
  <phoneticPr fontId="40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 filterMode="1">
    <pageSetUpPr fitToPage="1"/>
  </sheetPr>
  <dimension ref="A1:Z146"/>
  <sheetViews>
    <sheetView showGridLines="0" zoomScale="90" zoomScaleNormal="90" zoomScaleSheetLayoutView="100" workbookViewId="0">
      <pane ySplit="11" topLeftCell="A39" activePane="bottomLeft" state="frozen"/>
      <selection activeCell="E1" sqref="E1"/>
      <selection pane="bottomLeft" activeCell="J11" sqref="J11:Q11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7" t="s">
        <v>139</v>
      </c>
      <c r="S1" s="687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8" t="s">
        <v>142</v>
      </c>
      <c r="S2" s="688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3" t="s">
        <v>440</v>
      </c>
      <c r="K4" s="683"/>
      <c r="L4" s="683" t="s">
        <v>441</v>
      </c>
      <c r="M4" s="683"/>
      <c r="N4" s="683" t="s">
        <v>146</v>
      </c>
      <c r="O4" s="683"/>
      <c r="P4" s="683"/>
      <c r="Q4" s="683"/>
      <c r="R4" s="683"/>
      <c r="S4" s="683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6">
        <f>Import.CR</f>
        <v>0</v>
      </c>
      <c r="K5" s="686"/>
      <c r="L5" s="686">
        <f>Import.SICONV</f>
        <v>0</v>
      </c>
      <c r="M5" s="686"/>
      <c r="N5" s="686" t="str">
        <f>Import.Proponente</f>
        <v>MUNICÍPIO DE CÉU AZUL</v>
      </c>
      <c r="O5" s="686"/>
      <c r="P5" s="686"/>
      <c r="Q5" s="686"/>
      <c r="R5" s="686"/>
      <c r="S5" s="686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6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6"/>
      <c r="J7" s="683" t="s">
        <v>150</v>
      </c>
      <c r="K7" s="683"/>
      <c r="L7" s="683"/>
      <c r="M7" s="683"/>
      <c r="N7" s="683"/>
      <c r="O7" s="683"/>
      <c r="P7" s="683"/>
      <c r="Q7" s="683"/>
      <c r="R7" s="683"/>
      <c r="S7" s="683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6"/>
      <c r="J8" s="691" t="str">
        <f>Import.Apelido&amp;" / "&amp;Import.DescLote</f>
        <v>RECAPE ASFÁLTICO NO MUNICÍPIO DE CÉU AZUL / RECAPE ASFÁLTICO EM DIVERSAS RUAS DO MUNICÍPIO</v>
      </c>
      <c r="K8" s="691"/>
      <c r="L8" s="691"/>
      <c r="M8" s="691"/>
      <c r="N8" s="691"/>
      <c r="O8" s="691"/>
      <c r="P8" s="691"/>
      <c r="Q8" s="691"/>
      <c r="R8" s="691"/>
      <c r="S8" s="691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6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6"/>
      <c r="J10" s="692" t="s">
        <v>152</v>
      </c>
      <c r="K10" s="692"/>
      <c r="L10" s="692"/>
      <c r="M10" s="692"/>
      <c r="N10" s="692"/>
      <c r="O10" s="692"/>
      <c r="P10" s="692"/>
      <c r="Q10" s="692"/>
      <c r="R10" s="690">
        <v>1</v>
      </c>
      <c r="S10" s="690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89" t="s">
        <v>153</v>
      </c>
      <c r="K11" s="689"/>
      <c r="L11" s="689"/>
      <c r="M11" s="689"/>
      <c r="N11" s="689"/>
      <c r="O11" s="689"/>
      <c r="P11" s="689"/>
      <c r="Q11" s="689"/>
      <c r="R11" s="690">
        <v>0.04</v>
      </c>
      <c r="S11" s="690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5" t="s">
        <v>155</v>
      </c>
      <c r="K14" s="685"/>
      <c r="L14" s="685"/>
      <c r="M14" s="685"/>
      <c r="N14" s="685"/>
      <c r="O14" s="685"/>
      <c r="P14" s="685"/>
      <c r="Q14" s="685"/>
      <c r="R14" s="685"/>
      <c r="S14" s="68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3" t="s">
        <v>156</v>
      </c>
      <c r="K16" s="683"/>
      <c r="L16" s="683"/>
      <c r="M16" s="683"/>
      <c r="N16" s="683"/>
      <c r="O16" s="683"/>
      <c r="P16" s="683"/>
      <c r="Q16" s="683"/>
      <c r="R16" s="683"/>
      <c r="S16" s="683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4" t="s">
        <v>151</v>
      </c>
      <c r="K17" s="684"/>
      <c r="L17" s="684"/>
      <c r="M17" s="684"/>
      <c r="N17" s="684"/>
      <c r="O17" s="684"/>
      <c r="P17" s="684"/>
      <c r="Q17" s="684"/>
      <c r="R17" s="684"/>
      <c r="S17" s="684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2" t="s">
        <v>157</v>
      </c>
      <c r="K19" s="682"/>
      <c r="L19" s="682"/>
      <c r="M19" s="682"/>
      <c r="N19" s="682"/>
      <c r="O19" s="682"/>
      <c r="P19" s="682"/>
      <c r="Q19" s="682"/>
      <c r="R19" s="682" t="s">
        <v>158</v>
      </c>
      <c r="S19" s="673" t="s">
        <v>159</v>
      </c>
      <c r="U19" s="673" t="s">
        <v>160</v>
      </c>
      <c r="V19" s="673"/>
      <c r="W19" s="673"/>
      <c r="X19" s="681" t="s">
        <v>161</v>
      </c>
      <c r="Y19" s="681" t="s">
        <v>162</v>
      </c>
      <c r="Z19" s="68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2"/>
      <c r="K20" s="682"/>
      <c r="L20" s="682"/>
      <c r="M20" s="682"/>
      <c r="N20" s="682"/>
      <c r="O20" s="682"/>
      <c r="P20" s="682"/>
      <c r="Q20" s="682"/>
      <c r="R20" s="682"/>
      <c r="S20" s="673"/>
      <c r="U20" s="673"/>
      <c r="V20" s="673"/>
      <c r="W20" s="673"/>
      <c r="X20" s="681"/>
      <c r="Y20" s="681"/>
      <c r="Z20" s="68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1" t="str">
        <f>IF($J$17=$A$146,"Encargos Sociais incidentes sobre a mão de obra","Administração Central")</f>
        <v>Administração Central</v>
      </c>
      <c r="K21" s="671"/>
      <c r="L21" s="671"/>
      <c r="M21" s="671"/>
      <c r="N21" s="671"/>
      <c r="O21" s="671"/>
      <c r="P21" s="671"/>
      <c r="Q21" s="671"/>
      <c r="R21" s="77" t="str">
        <f>IF($J17=$A$146,"K1","AC")</f>
        <v>AC</v>
      </c>
      <c r="S21" s="78">
        <v>3.7999999999999999E-2</v>
      </c>
      <c r="U21" s="672" t="s">
        <v>165</v>
      </c>
      <c r="V21" s="672"/>
      <c r="W21" s="672"/>
      <c r="X21" s="79">
        <f>VLOOKUP(CONCATENATE(J17,"-",R21),$C$2:$G$136,3,FALSE)</f>
        <v>3.7999999999999999E-2</v>
      </c>
      <c r="Y21" s="79">
        <f>VLOOKUP(CONCATENATE(J17,"-",R21),$C$2:$G$136,4,FALSE)</f>
        <v>4.0099999999999997E-2</v>
      </c>
      <c r="Z21" s="79">
        <f>VLOOKUP(CONCATENATE(J17,"-",R21),$C$2:$G$136,5,FALSE)</f>
        <v>4.6699999999999998E-2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1" t="str">
        <f>IF($J$17=$A$146,"Administração Central da empresa ou consultoria - overhead","Seguro e Garantia")</f>
        <v>Seguro e Garantia</v>
      </c>
      <c r="K22" s="671"/>
      <c r="L22" s="671"/>
      <c r="M22" s="671"/>
      <c r="N22" s="671"/>
      <c r="O22" s="671"/>
      <c r="P22" s="671"/>
      <c r="Q22" s="671"/>
      <c r="R22" s="77" t="str">
        <f>IF($J17=$A$146,"K2","SG")</f>
        <v>SG</v>
      </c>
      <c r="S22" s="78">
        <v>3.2000000000000002E-3</v>
      </c>
      <c r="U22" s="672" t="s">
        <v>165</v>
      </c>
      <c r="V22" s="672"/>
      <c r="W22" s="672"/>
      <c r="X22" s="79">
        <f>VLOOKUP(CONCATENATE(J17,"-",R22),$C$2:$G$136,3,FALSE)</f>
        <v>3.2000000000000002E-3</v>
      </c>
      <c r="Y22" s="79">
        <f>VLOOKUP(CONCATENATE(J17,"-",R22),$C$2:$G$136,4,FALSE)</f>
        <v>4.0000000000000001E-3</v>
      </c>
      <c r="Z22" s="79">
        <f>VLOOKUP(CONCATENATE(J17,"-",R22),$C$2:$G$136,5,FALSE)</f>
        <v>7.4000000000000003E-3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1" t="str">
        <f>IF($J$17=$A$146,"","Risco")</f>
        <v>Risco</v>
      </c>
      <c r="K23" s="671"/>
      <c r="L23" s="671"/>
      <c r="M23" s="671"/>
      <c r="N23" s="671"/>
      <c r="O23" s="671"/>
      <c r="P23" s="671"/>
      <c r="Q23" s="671"/>
      <c r="R23" s="77" t="str">
        <f>IF($J17=$A$146,"","R")</f>
        <v>R</v>
      </c>
      <c r="S23" s="78">
        <v>5.0000000000000001E-3</v>
      </c>
      <c r="U23" s="672" t="s">
        <v>165</v>
      </c>
      <c r="V23" s="672"/>
      <c r="W23" s="672"/>
      <c r="X23" s="79">
        <f>VLOOKUP(CONCATENATE(J17,"-",R23),$C$2:$G$136,3,FALSE)</f>
        <v>5.0000000000000001E-3</v>
      </c>
      <c r="Y23" s="79">
        <f>VLOOKUP(CONCATENATE(J17,"-",R23),$C$2:$G$136,4,FALSE)</f>
        <v>5.6000000000000008E-3</v>
      </c>
      <c r="Z23" s="79">
        <f>VLOOKUP(CONCATENATE(J17,"-",R23),$C$2:$G$136,5,FALSE)</f>
        <v>9.7000000000000003E-3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1" t="str">
        <f>IF($J$17=$A$146,"","Despesas Financeiras")</f>
        <v>Despesas Financeiras</v>
      </c>
      <c r="K24" s="671"/>
      <c r="L24" s="671"/>
      <c r="M24" s="671"/>
      <c r="N24" s="671"/>
      <c r="O24" s="671"/>
      <c r="P24" s="671"/>
      <c r="Q24" s="671"/>
      <c r="R24" s="77" t="str">
        <f>IF($J17=$A$146,"","DF")</f>
        <v>DF</v>
      </c>
      <c r="S24" s="78">
        <v>1.0200000000000001E-2</v>
      </c>
      <c r="U24" s="672" t="s">
        <v>165</v>
      </c>
      <c r="V24" s="672"/>
      <c r="W24" s="672"/>
      <c r="X24" s="79">
        <f>VLOOKUP(CONCATENATE(J17,"-",R24),$C$2:$G$136,3,FALSE)</f>
        <v>1.0200000000000001E-2</v>
      </c>
      <c r="Y24" s="79">
        <f>VLOOKUP(CONCATENATE(J17,"-",R24),$C$2:$G$136,4,FALSE)</f>
        <v>1.11E-2</v>
      </c>
      <c r="Z24" s="79">
        <f>VLOOKUP(CONCATENATE(J17,"-",R24),$C$2:$G$136,5,FALSE)</f>
        <v>1.21E-2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1" t="str">
        <f>IF($J$17=$A$146,"Margem bruta da empresa de consultoria","Lucro")</f>
        <v>Lucro</v>
      </c>
      <c r="K25" s="671"/>
      <c r="L25" s="671"/>
      <c r="M25" s="671"/>
      <c r="N25" s="671"/>
      <c r="O25" s="671"/>
      <c r="P25" s="671"/>
      <c r="Q25" s="671"/>
      <c r="R25" s="77" t="str">
        <f>IF($J17=$A$146,"K3","L")</f>
        <v>L</v>
      </c>
      <c r="S25" s="78">
        <v>0.05</v>
      </c>
      <c r="U25" s="672" t="s">
        <v>165</v>
      </c>
      <c r="V25" s="672"/>
      <c r="W25" s="672"/>
      <c r="X25" s="79">
        <f>VLOOKUP(CONCATENATE(J17,"-",R25),$C$2:$G$136,3,FALSE)</f>
        <v>6.6400000000000001E-2</v>
      </c>
      <c r="Y25" s="79">
        <f>VLOOKUP(CONCATENATE(J17,"-",R25),$C$2:$G$136,4,FALSE)</f>
        <v>7.2999999999999995E-2</v>
      </c>
      <c r="Z25" s="79">
        <f>VLOOKUP(CONCATENATE(J17,"-",R25),$C$2:$G$136,5,FALSE)</f>
        <v>8.6899999999999991E-2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1" t="s">
        <v>167</v>
      </c>
      <c r="K26" s="671"/>
      <c r="L26" s="671"/>
      <c r="M26" s="671"/>
      <c r="N26" s="671"/>
      <c r="O26" s="671"/>
      <c r="P26" s="671"/>
      <c r="Q26" s="671"/>
      <c r="R26" s="77" t="s">
        <v>168</v>
      </c>
      <c r="S26" s="78">
        <v>3.6499999999999998E-2</v>
      </c>
      <c r="U26" s="672" t="s">
        <v>165</v>
      </c>
      <c r="V26" s="672"/>
      <c r="W26" s="672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1" t="s">
        <v>169</v>
      </c>
      <c r="K27" s="671"/>
      <c r="L27" s="671"/>
      <c r="M27" s="671"/>
      <c r="N27" s="671"/>
      <c r="O27" s="671"/>
      <c r="P27" s="671"/>
      <c r="Q27" s="671"/>
      <c r="R27" s="77" t="s">
        <v>170</v>
      </c>
      <c r="S27" s="79">
        <f ca="1">IF(AND($J17&lt;&gt;$A$145,COUNTA(OFFSET(S20,1,0,6))&gt;0),$R$11*$R$10,0)</f>
        <v>0.04</v>
      </c>
      <c r="U27" s="672" t="s">
        <v>165</v>
      </c>
      <c r="V27" s="672"/>
      <c r="W27" s="672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1" t="s">
        <v>171</v>
      </c>
      <c r="K28" s="671"/>
      <c r="L28" s="671"/>
      <c r="M28" s="671"/>
      <c r="N28" s="671"/>
      <c r="O28" s="671"/>
      <c r="P28" s="671"/>
      <c r="Q28" s="671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2" t="s">
        <v>165</v>
      </c>
      <c r="V28" s="672"/>
      <c r="W28" s="672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1" t="s">
        <v>173</v>
      </c>
      <c r="K29" s="671"/>
      <c r="L29" s="671"/>
      <c r="M29" s="671"/>
      <c r="N29" s="671"/>
      <c r="O29" s="671"/>
      <c r="P29" s="671"/>
      <c r="Q29" s="671"/>
      <c r="R29" s="81" t="s">
        <v>149</v>
      </c>
      <c r="S29" s="79">
        <f ca="1">IF($J17=$A$145,0,ROUND((((1+S21+S22+S23)*(1+S24)*(1+S25)/(1-(S26+S27)))-1),4))</f>
        <v>0.2016</v>
      </c>
      <c r="U29" s="673" t="str">
        <f ca="1">IF(OR($J$17=$A$146,$J$17=$A$145,AND(S29&gt;=X29,S29&lt;=Z29)),"OK","FORA DO INTERVALO")</f>
        <v>OK</v>
      </c>
      <c r="V29" s="673"/>
      <c r="W29" s="673"/>
      <c r="X29" s="79">
        <f>IF($J17=$A$145,0,VLOOKUP(CONCATENATE($J17,"-",$R29),$C$2:$G$136,3,FALSE))</f>
        <v>0.19600000000000001</v>
      </c>
      <c r="Y29" s="79">
        <f>IF($J17=$A$145,0,VLOOKUP(CONCATENATE($J17,"-",$R29),$C$2:$G$136,4,FALSE))</f>
        <v>0.2097</v>
      </c>
      <c r="Z29" s="79">
        <f>IF($J17=$A$145,0,VLOOKUP(CONCATENATE($J17,"-",$R29),$C$2:$G$136,5,FALSE))</f>
        <v>0.24230000000000002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4" t="s">
        <v>174</v>
      </c>
      <c r="K30" s="674"/>
      <c r="L30" s="674"/>
      <c r="M30" s="674"/>
      <c r="N30" s="674"/>
      <c r="O30" s="674"/>
      <c r="P30" s="674"/>
      <c r="Q30" s="674"/>
      <c r="R30" s="82" t="s">
        <v>175</v>
      </c>
      <c r="S30" s="83">
        <f ca="1">IF($J17=$A$145,0,ROUND((((1+S21+S22+S23)*(1+S24)*(1+S25)/(1-(S26+S27+S28)))-1),4))</f>
        <v>0.26319999999999999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str">
        <f ca="1">IF(U29&lt;&gt;"ok","X","")</f>
        <v/>
      </c>
      <c r="K32" s="675" t="str">
        <f ca="1">IF(U29&lt;&gt;"ok","Anexo: Relatório Técnico Circunstanciado justificando a adoção do percentual de cada parcela do BDI.","")</f>
        <v/>
      </c>
      <c r="L32" s="675"/>
      <c r="M32" s="675"/>
      <c r="N32" s="675"/>
      <c r="O32" s="675"/>
      <c r="P32" s="675"/>
      <c r="Q32" s="675"/>
      <c r="R32" s="675"/>
      <c r="S32" s="675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7" t="s">
        <v>177</v>
      </c>
      <c r="K34" s="677"/>
      <c r="L34" s="677"/>
      <c r="M34" s="677"/>
      <c r="N34" s="677"/>
      <c r="O34" s="677"/>
      <c r="P34" s="677"/>
      <c r="Q34" s="677"/>
      <c r="R34" s="677"/>
      <c r="S34" s="677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8" t="s">
        <v>178</v>
      </c>
      <c r="N35" s="679" t="str">
        <f>IF($J17=$A$146,"(1+K1+K2)*(1+K3)","(1+AC + S + R + G)*(1 + DF)*(1+L)")</f>
        <v>(1+AC + S + R + G)*(1 + DF)*(1+L)</v>
      </c>
      <c r="O35" s="679"/>
      <c r="P35" s="679"/>
      <c r="Q35" s="68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8"/>
      <c r="N36" s="670" t="s">
        <v>180</v>
      </c>
      <c r="O36" s="670"/>
      <c r="P36" s="670"/>
      <c r="Q36" s="68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4"/>
      <c r="L38" s="664"/>
      <c r="M38" s="664"/>
      <c r="N38" s="664"/>
      <c r="O38" s="664"/>
      <c r="P38" s="664"/>
      <c r="Q38" s="664"/>
      <c r="R38" s="664"/>
      <c r="S38" s="664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4"/>
      <c r="L40" s="664"/>
      <c r="M40" s="664"/>
      <c r="N40" s="664"/>
      <c r="O40" s="664"/>
      <c r="P40" s="664"/>
      <c r="Q40" s="664"/>
      <c r="R40" s="664"/>
      <c r="S40" s="664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5"/>
      <c r="K43" s="665"/>
      <c r="L43" s="665"/>
      <c r="M43" s="665"/>
      <c r="N43" s="665"/>
      <c r="O43" s="665"/>
      <c r="P43" s="665"/>
      <c r="Q43" s="665"/>
      <c r="R43" s="665"/>
      <c r="S43" s="665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6" t="str">
        <f>Import.Município</f>
        <v>CÉU AZUL</v>
      </c>
      <c r="K45" s="666"/>
      <c r="L45" s="666"/>
      <c r="M45" s="666"/>
      <c r="P45" s="667">
        <f ca="1">DADOS!$F$25</f>
        <v>44134</v>
      </c>
      <c r="Q45" s="667"/>
      <c r="R45" s="667"/>
      <c r="S45" s="667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8" t="s">
        <v>187</v>
      </c>
      <c r="K46" s="668"/>
      <c r="L46" s="668"/>
      <c r="M46" s="668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69"/>
      <c r="K48" s="669"/>
      <c r="L48" s="669"/>
      <c r="M48" s="669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3" t="s">
        <v>189</v>
      </c>
      <c r="K49" s="663"/>
      <c r="L49" s="663"/>
      <c r="M49" s="663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GUSTAVO FRANCESCHINI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126178/D - PR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 t="str">
        <v>1720204868649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hidden="1" x14ac:dyDescent="0.25">
      <c r="A54"/>
      <c r="B54"/>
      <c r="C54"/>
      <c r="D54"/>
      <c r="E54"/>
      <c r="F54"/>
      <c r="G54"/>
      <c r="I54" t="str">
        <f ca="1">IF($S$69=0,"","F")</f>
        <v/>
      </c>
      <c r="J54" s="685" t="s">
        <v>190</v>
      </c>
      <c r="K54" s="685"/>
      <c r="L54" s="685"/>
      <c r="M54" s="685"/>
      <c r="N54" s="685"/>
      <c r="O54" s="685"/>
      <c r="P54" s="685"/>
      <c r="Q54" s="685"/>
      <c r="R54" s="685"/>
      <c r="S54" s="685"/>
    </row>
    <row r="55" spans="1:26" hidden="1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hidden="1" x14ac:dyDescent="0.2">
      <c r="A56"/>
      <c r="B56"/>
      <c r="C56"/>
      <c r="D56"/>
      <c r="E56"/>
      <c r="F56"/>
      <c r="G56"/>
      <c r="I56" t="str">
        <f t="shared" ca="1" si="1"/>
        <v/>
      </c>
      <c r="J56" s="683" t="s">
        <v>156</v>
      </c>
      <c r="K56" s="683"/>
      <c r="L56" s="683"/>
      <c r="M56" s="683"/>
      <c r="N56" s="683"/>
      <c r="O56" s="683"/>
      <c r="P56" s="683"/>
      <c r="Q56" s="683"/>
      <c r="R56" s="683"/>
      <c r="S56" s="683"/>
    </row>
    <row r="57" spans="1:26" hidden="1" x14ac:dyDescent="0.2">
      <c r="A57"/>
      <c r="B57"/>
      <c r="C57"/>
      <c r="D57"/>
      <c r="E57"/>
      <c r="F57"/>
      <c r="G57"/>
      <c r="I57" t="str">
        <f t="shared" ca="1" si="1"/>
        <v/>
      </c>
      <c r="J57" s="684" t="s">
        <v>408</v>
      </c>
      <c r="K57" s="684"/>
      <c r="L57" s="684"/>
      <c r="M57" s="684"/>
      <c r="N57" s="684"/>
      <c r="O57" s="684"/>
      <c r="P57" s="684"/>
      <c r="Q57" s="684"/>
      <c r="R57" s="684"/>
      <c r="S57" s="684"/>
    </row>
    <row r="58" spans="1:26" hidden="1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hidden="1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2" t="s">
        <v>157</v>
      </c>
      <c r="K59" s="682"/>
      <c r="L59" s="682"/>
      <c r="M59" s="682"/>
      <c r="N59" s="682"/>
      <c r="O59" s="682"/>
      <c r="P59" s="682"/>
      <c r="Q59" s="682"/>
      <c r="R59" s="682" t="s">
        <v>158</v>
      </c>
      <c r="S59" s="673" t="s">
        <v>159</v>
      </c>
      <c r="U59" s="673" t="s">
        <v>160</v>
      </c>
      <c r="V59" s="673"/>
      <c r="W59" s="673"/>
      <c r="X59" s="681" t="s">
        <v>161</v>
      </c>
      <c r="Y59" s="681" t="s">
        <v>162</v>
      </c>
      <c r="Z59" s="681" t="s">
        <v>163</v>
      </c>
    </row>
    <row r="60" spans="1:26" ht="12.75" hidden="1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2"/>
      <c r="K60" s="682"/>
      <c r="L60" s="682"/>
      <c r="M60" s="682"/>
      <c r="N60" s="682"/>
      <c r="O60" s="682"/>
      <c r="P60" s="682"/>
      <c r="Q60" s="682"/>
      <c r="R60" s="682"/>
      <c r="S60" s="673"/>
      <c r="U60" s="673"/>
      <c r="V60" s="673"/>
      <c r="W60" s="673"/>
      <c r="X60" s="681"/>
      <c r="Y60" s="681"/>
      <c r="Z60" s="681"/>
    </row>
    <row r="61" spans="1:26" ht="15" hidden="1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1" t="str">
        <f>IF($J$17=$A$146,"Encargos Sociais incidentes sobre a mão de obra","Administração Central")</f>
        <v>Administração Central</v>
      </c>
      <c r="K61" s="671"/>
      <c r="L61" s="671"/>
      <c r="M61" s="671"/>
      <c r="N61" s="671"/>
      <c r="O61" s="671"/>
      <c r="P61" s="671"/>
      <c r="Q61" s="671"/>
      <c r="R61" s="77" t="str">
        <f>IF($J57=$A$146,"K1","AC")</f>
        <v>AC</v>
      </c>
      <c r="S61" s="78"/>
      <c r="U61" s="672" t="s">
        <v>165</v>
      </c>
      <c r="V61" s="672"/>
      <c r="W61" s="672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hidden="1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1" t="str">
        <f>IF($J$17=$A$146,"Administração Central da empresa ou consultoria - overhead","Seguro e Garantia")</f>
        <v>Seguro e Garantia</v>
      </c>
      <c r="K62" s="671"/>
      <c r="L62" s="671"/>
      <c r="M62" s="671"/>
      <c r="N62" s="671"/>
      <c r="O62" s="671"/>
      <c r="P62" s="671"/>
      <c r="Q62" s="671"/>
      <c r="R62" s="77" t="str">
        <f>IF($J57=$A$146,"K2","SG")</f>
        <v>SG</v>
      </c>
      <c r="S62" s="78"/>
      <c r="U62" s="672" t="s">
        <v>165</v>
      </c>
      <c r="V62" s="672"/>
      <c r="W62" s="672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hidden="1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1" t="str">
        <f>IF($J$17=$A$146,"","Risco")</f>
        <v>Risco</v>
      </c>
      <c r="K63" s="671"/>
      <c r="L63" s="671"/>
      <c r="M63" s="671"/>
      <c r="N63" s="671"/>
      <c r="O63" s="671"/>
      <c r="P63" s="671"/>
      <c r="Q63" s="671"/>
      <c r="R63" s="77" t="str">
        <f>IF($J57=$A$146,"","R")</f>
        <v>R</v>
      </c>
      <c r="S63" s="78"/>
      <c r="U63" s="672" t="s">
        <v>165</v>
      </c>
      <c r="V63" s="672"/>
      <c r="W63" s="672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hidden="1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1" t="str">
        <f>IF($J$17=$A$146,"","Despesas Financeiras")</f>
        <v>Despesas Financeiras</v>
      </c>
      <c r="K64" s="671"/>
      <c r="L64" s="671"/>
      <c r="M64" s="671"/>
      <c r="N64" s="671"/>
      <c r="O64" s="671"/>
      <c r="P64" s="671"/>
      <c r="Q64" s="671"/>
      <c r="R64" s="77" t="str">
        <f>IF($J57=$A$146,"","DF")</f>
        <v>DF</v>
      </c>
      <c r="S64" s="78"/>
      <c r="U64" s="672" t="s">
        <v>165</v>
      </c>
      <c r="V64" s="672"/>
      <c r="W64" s="672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hidden="1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1" t="str">
        <f>IF($J$17=$A$146,"Margem bruta da empresa de consultoria","Lucro")</f>
        <v>Lucro</v>
      </c>
      <c r="K65" s="671"/>
      <c r="L65" s="671"/>
      <c r="M65" s="671"/>
      <c r="N65" s="671"/>
      <c r="O65" s="671"/>
      <c r="P65" s="671"/>
      <c r="Q65" s="671"/>
      <c r="R65" s="77" t="str">
        <f>IF($J57=$A$146,"K3","L")</f>
        <v>L</v>
      </c>
      <c r="S65" s="78"/>
      <c r="U65" s="672" t="s">
        <v>165</v>
      </c>
      <c r="V65" s="672"/>
      <c r="W65" s="672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hidden="1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1" t="s">
        <v>167</v>
      </c>
      <c r="K66" s="671"/>
      <c r="L66" s="671"/>
      <c r="M66" s="671"/>
      <c r="N66" s="671"/>
      <c r="O66" s="671"/>
      <c r="P66" s="671"/>
      <c r="Q66" s="671"/>
      <c r="R66" s="77" t="s">
        <v>168</v>
      </c>
      <c r="S66" s="78"/>
      <c r="U66" s="672" t="s">
        <v>165</v>
      </c>
      <c r="V66" s="672"/>
      <c r="W66" s="672"/>
      <c r="X66" s="79">
        <v>3.6499999999999998E-2</v>
      </c>
      <c r="Y66" s="79">
        <v>3.6499999999999998E-2</v>
      </c>
      <c r="Z66" s="79">
        <v>3.6499999999999998E-2</v>
      </c>
    </row>
    <row r="67" spans="1:26" ht="15" hidden="1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1" t="s">
        <v>169</v>
      </c>
      <c r="K67" s="671"/>
      <c r="L67" s="671"/>
      <c r="M67" s="671"/>
      <c r="N67" s="671"/>
      <c r="O67" s="671"/>
      <c r="P67" s="671"/>
      <c r="Q67" s="671"/>
      <c r="R67" s="77" t="s">
        <v>170</v>
      </c>
      <c r="S67" s="79">
        <f ca="1">IF(AND($J57&lt;&gt;$A$145,COUNTA(OFFSET(S60,1,0,6))&gt;0),$R$11*$R$10,0)</f>
        <v>0</v>
      </c>
      <c r="U67" s="672" t="s">
        <v>165</v>
      </c>
      <c r="V67" s="672"/>
      <c r="W67" s="672"/>
      <c r="X67" s="79">
        <v>0</v>
      </c>
      <c r="Y67" s="79">
        <v>2.5000000000000001E-2</v>
      </c>
      <c r="Z67" s="79">
        <v>0.05</v>
      </c>
    </row>
    <row r="68" spans="1:26" ht="15" hidden="1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1" t="s">
        <v>171</v>
      </c>
      <c r="K68" s="671"/>
      <c r="L68" s="671"/>
      <c r="M68" s="671"/>
      <c r="N68" s="671"/>
      <c r="O68" s="671"/>
      <c r="P68" s="671"/>
      <c r="Q68" s="671"/>
      <c r="R68" s="77" t="s">
        <v>172</v>
      </c>
      <c r="S68" s="79">
        <f ca="1">IF(BDI.Opcao&lt;&gt;"Desonerado",0,IF(AND($J57&lt;&gt;$A$145,COUNTA(OFFSET(S60,1,0,6))&gt;0),4.5%,0%))</f>
        <v>0</v>
      </c>
      <c r="U68" s="672" t="s">
        <v>165</v>
      </c>
      <c r="V68" s="672"/>
      <c r="W68" s="672"/>
      <c r="X68" s="80">
        <v>0</v>
      </c>
      <c r="Y68" s="80">
        <v>4.4999999999999998E-2</v>
      </c>
      <c r="Z68" s="80">
        <v>4.4999999999999998E-2</v>
      </c>
    </row>
    <row r="69" spans="1:26" ht="15" hidden="1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1" t="s">
        <v>173</v>
      </c>
      <c r="K69" s="671"/>
      <c r="L69" s="671"/>
      <c r="M69" s="671"/>
      <c r="N69" s="671"/>
      <c r="O69" s="671"/>
      <c r="P69" s="671"/>
      <c r="Q69" s="671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hidden="1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4" t="s">
        <v>174</v>
      </c>
      <c r="K70" s="674"/>
      <c r="L70" s="674"/>
      <c r="M70" s="674"/>
      <c r="N70" s="674"/>
      <c r="O70" s="674"/>
      <c r="P70" s="674"/>
      <c r="Q70" s="674"/>
      <c r="R70" s="82" t="s">
        <v>175</v>
      </c>
      <c r="S70" s="83">
        <f ca="1">IF($J57=$A$145,0,ROUND((((1+S61+S62+S63)*(1+S64)*(1+S65)/(1-(S66+S67+S68)))-1),4))</f>
        <v>0</v>
      </c>
    </row>
    <row r="71" spans="1:26" ht="25.5" hidden="1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hidden="1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5" t="e">
        <f ca="1">IF(U69&lt;&gt;"ok","Anexo: Relatório Técnico Circunstanciado justificando a adoção do percentual de cada parcela do BDI.","")</f>
        <v>#N/A</v>
      </c>
      <c r="L72" s="675"/>
      <c r="M72" s="675"/>
      <c r="N72" s="675"/>
      <c r="O72" s="675"/>
      <c r="P72" s="675"/>
      <c r="Q72" s="675"/>
      <c r="R72" s="675"/>
      <c r="S72" s="675"/>
    </row>
    <row r="73" spans="1:26" hidden="1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hidden="1" x14ac:dyDescent="0.2">
      <c r="A74"/>
      <c r="B74"/>
      <c r="C74"/>
      <c r="D74"/>
      <c r="E74"/>
      <c r="F74"/>
      <c r="G74"/>
      <c r="I74" t="str">
        <f t="shared" ca="1" si="1"/>
        <v/>
      </c>
      <c r="J74" s="677" t="s">
        <v>177</v>
      </c>
      <c r="K74" s="677"/>
      <c r="L74" s="677"/>
      <c r="M74" s="677"/>
      <c r="N74" s="677"/>
      <c r="O74" s="677"/>
      <c r="P74" s="677"/>
      <c r="Q74" s="677"/>
      <c r="R74" s="677"/>
      <c r="S74" s="677"/>
    </row>
    <row r="75" spans="1:26" ht="15.75" hidden="1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8" t="s">
        <v>178</v>
      </c>
      <c r="N75" s="679" t="str">
        <f>IF($J57=$A$146,"(1+K1+K2)*(1+K3)","(1+AC + S + R + G)*(1 + DF)*(1+L)")</f>
        <v>(1+AC + S + R + G)*(1 + DF)*(1+L)</v>
      </c>
      <c r="O75" s="679"/>
      <c r="P75" s="679"/>
      <c r="Q75" s="680" t="s">
        <v>179</v>
      </c>
      <c r="R75" s="85"/>
      <c r="S75" s="85"/>
    </row>
    <row r="76" spans="1:26" ht="15.75" hidden="1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8"/>
      <c r="N76" s="670" t="s">
        <v>180</v>
      </c>
      <c r="O76" s="670"/>
      <c r="P76" s="670"/>
      <c r="Q76" s="680"/>
      <c r="R76" s="85"/>
      <c r="S76" s="85"/>
    </row>
    <row r="77" spans="1:26" ht="15" hidden="1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hidden="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4"/>
      <c r="L78" s="664"/>
      <c r="M78" s="664"/>
      <c r="N78" s="664"/>
      <c r="O78" s="664"/>
      <c r="P78" s="664"/>
      <c r="Q78" s="664"/>
      <c r="R78" s="664"/>
      <c r="S78" s="664"/>
    </row>
    <row r="79" spans="1:26" hidden="1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hidden="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4"/>
      <c r="L80" s="664"/>
      <c r="M80" s="664"/>
      <c r="N80" s="664"/>
      <c r="O80" s="664"/>
      <c r="P80" s="664"/>
      <c r="Q80" s="664"/>
      <c r="R80" s="664"/>
      <c r="S80" s="664"/>
    </row>
    <row r="81" spans="1:19" hidden="1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hidden="1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hidden="1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19" hidden="1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hidden="1" x14ac:dyDescent="0.2">
      <c r="A85"/>
      <c r="B85"/>
      <c r="C85"/>
      <c r="D85"/>
      <c r="E85"/>
      <c r="F85"/>
      <c r="G85"/>
      <c r="I85" t="str">
        <f t="shared" ca="1" si="1"/>
        <v/>
      </c>
      <c r="J85" s="666" t="str">
        <f>Import.Município</f>
        <v>CÉU AZUL</v>
      </c>
      <c r="K85" s="666"/>
      <c r="L85" s="666"/>
      <c r="M85" s="666"/>
      <c r="P85" s="667">
        <f ca="1">DADOS!$F$25</f>
        <v>44134</v>
      </c>
      <c r="Q85" s="667"/>
      <c r="R85" s="667"/>
      <c r="S85" s="667"/>
    </row>
    <row r="86" spans="1:19" hidden="1" x14ac:dyDescent="0.2">
      <c r="A86"/>
      <c r="B86"/>
      <c r="C86"/>
      <c r="D86"/>
      <c r="E86"/>
      <c r="F86"/>
      <c r="G86"/>
      <c r="I86" t="str">
        <f t="shared" ca="1" si="1"/>
        <v/>
      </c>
      <c r="J86" s="668" t="s">
        <v>187</v>
      </c>
      <c r="K86" s="668"/>
      <c r="L86" s="668"/>
      <c r="M86" s="668"/>
      <c r="O86" s="90"/>
      <c r="P86" s="91" t="s">
        <v>188</v>
      </c>
      <c r="Q86" s="92"/>
      <c r="R86" s="92"/>
      <c r="S86" s="92"/>
    </row>
    <row r="87" spans="1:19" ht="30" hidden="1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hidden="1" x14ac:dyDescent="0.2">
      <c r="A88"/>
      <c r="B88"/>
      <c r="C88"/>
      <c r="D88"/>
      <c r="E88"/>
      <c r="F88"/>
      <c r="G88"/>
      <c r="I88" t="str">
        <f t="shared" ca="1" si="1"/>
        <v/>
      </c>
      <c r="J88" s="669"/>
      <c r="K88" s="669"/>
      <c r="L88" s="669"/>
      <c r="M88" s="669"/>
      <c r="N88" s="93"/>
    </row>
    <row r="89" spans="1:19" hidden="1" x14ac:dyDescent="0.2">
      <c r="A89"/>
      <c r="B89"/>
      <c r="C89"/>
      <c r="D89"/>
      <c r="E89"/>
      <c r="F89"/>
      <c r="G89"/>
      <c r="I89" t="str">
        <f t="shared" ca="1" si="1"/>
        <v/>
      </c>
      <c r="J89" s="663" t="s">
        <v>189</v>
      </c>
      <c r="K89" s="663"/>
      <c r="L89" s="663"/>
      <c r="M89" s="663"/>
      <c r="N89" s="94"/>
    </row>
    <row r="90" spans="1:19" ht="14.25" hidden="1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GUSTAVO FRANCESCHINI</v>
      </c>
      <c r="L90" s="97"/>
      <c r="M90" s="97"/>
      <c r="N90" s="98"/>
    </row>
    <row r="91" spans="1:19" ht="14.25" hidden="1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126178/D - PR</v>
      </c>
      <c r="L91" s="97"/>
      <c r="M91" s="97"/>
      <c r="N91" s="98"/>
    </row>
    <row r="92" spans="1:19" ht="14.25" hidden="1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 t="str">
        <v>1720204868649</v>
      </c>
      <c r="L92" s="97"/>
      <c r="M92" s="97"/>
      <c r="N92" s="98"/>
    </row>
    <row r="93" spans="1:19" ht="14.25" hidden="1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hidden="1" x14ac:dyDescent="0.25">
      <c r="A94"/>
      <c r="B94"/>
      <c r="C94"/>
      <c r="D94"/>
      <c r="E94"/>
      <c r="F94"/>
      <c r="G94"/>
      <c r="I94" t="str">
        <f ca="1">IF($S$109=0,"","F")</f>
        <v/>
      </c>
      <c r="J94" s="685" t="s">
        <v>191</v>
      </c>
      <c r="K94" s="685"/>
      <c r="L94" s="685"/>
      <c r="M94" s="685"/>
      <c r="N94" s="685"/>
      <c r="O94" s="685"/>
      <c r="P94" s="685"/>
      <c r="Q94" s="685"/>
      <c r="R94" s="685"/>
      <c r="S94" s="685"/>
    </row>
    <row r="95" spans="1:19" hidden="1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hidden="1" x14ac:dyDescent="0.2">
      <c r="A96"/>
      <c r="B96"/>
      <c r="C96"/>
      <c r="D96"/>
      <c r="E96"/>
      <c r="F96"/>
      <c r="G96"/>
      <c r="I96" t="str">
        <f t="shared" ca="1" si="2"/>
        <v/>
      </c>
      <c r="J96" s="683" t="s">
        <v>156</v>
      </c>
      <c r="K96" s="683"/>
      <c r="L96" s="683"/>
      <c r="M96" s="683"/>
      <c r="N96" s="683"/>
      <c r="O96" s="683"/>
      <c r="P96" s="683"/>
      <c r="Q96" s="683"/>
      <c r="R96" s="683"/>
      <c r="S96" s="683"/>
    </row>
    <row r="97" spans="1:26" hidden="1" x14ac:dyDescent="0.2">
      <c r="A97"/>
      <c r="B97"/>
      <c r="C97"/>
      <c r="D97"/>
      <c r="E97"/>
      <c r="F97"/>
      <c r="G97"/>
      <c r="I97" t="str">
        <f t="shared" ca="1" si="2"/>
        <v/>
      </c>
      <c r="J97" s="684" t="s">
        <v>408</v>
      </c>
      <c r="K97" s="684"/>
      <c r="L97" s="684"/>
      <c r="M97" s="684"/>
      <c r="N97" s="684"/>
      <c r="O97" s="684"/>
      <c r="P97" s="684"/>
      <c r="Q97" s="684"/>
      <c r="R97" s="684"/>
      <c r="S97" s="684"/>
    </row>
    <row r="98" spans="1:26" hidden="1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hidden="1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2" t="s">
        <v>157</v>
      </c>
      <c r="K99" s="682"/>
      <c r="L99" s="682"/>
      <c r="M99" s="682"/>
      <c r="N99" s="682"/>
      <c r="O99" s="682"/>
      <c r="P99" s="682"/>
      <c r="Q99" s="682"/>
      <c r="R99" s="682" t="s">
        <v>158</v>
      </c>
      <c r="S99" s="673" t="s">
        <v>159</v>
      </c>
      <c r="U99" s="673" t="s">
        <v>160</v>
      </c>
      <c r="V99" s="673"/>
      <c r="W99" s="673"/>
      <c r="X99" s="681" t="s">
        <v>161</v>
      </c>
      <c r="Y99" s="681" t="s">
        <v>162</v>
      </c>
      <c r="Z99" s="681" t="s">
        <v>163</v>
      </c>
    </row>
    <row r="100" spans="1:26" ht="12.75" hidden="1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2"/>
      <c r="K100" s="682"/>
      <c r="L100" s="682"/>
      <c r="M100" s="682"/>
      <c r="N100" s="682"/>
      <c r="O100" s="682"/>
      <c r="P100" s="682"/>
      <c r="Q100" s="682"/>
      <c r="R100" s="682"/>
      <c r="S100" s="673"/>
      <c r="U100" s="673"/>
      <c r="V100" s="673"/>
      <c r="W100" s="673"/>
      <c r="X100" s="681"/>
      <c r="Y100" s="681"/>
      <c r="Z100" s="681"/>
    </row>
    <row r="101" spans="1:26" ht="15" hidden="1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1" t="str">
        <f>IF($J$17=$A$146,"Encargos Sociais incidentes sobre a mão de obra","Administração Central")</f>
        <v>Administração Central</v>
      </c>
      <c r="K101" s="671"/>
      <c r="L101" s="671"/>
      <c r="M101" s="671"/>
      <c r="N101" s="671"/>
      <c r="O101" s="671"/>
      <c r="P101" s="671"/>
      <c r="Q101" s="671"/>
      <c r="R101" s="77" t="str">
        <f>IF($J97=$A$146,"K1","AC")</f>
        <v>AC</v>
      </c>
      <c r="S101" s="78"/>
      <c r="U101" s="672" t="s">
        <v>165</v>
      </c>
      <c r="V101" s="672"/>
      <c r="W101" s="672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hidden="1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1" t="str">
        <f>IF($J$17=$A$146,"Administração Central da empresa ou consultoria - overhead","Seguro e Garantia")</f>
        <v>Seguro e Garantia</v>
      </c>
      <c r="K102" s="671"/>
      <c r="L102" s="671"/>
      <c r="M102" s="671"/>
      <c r="N102" s="671"/>
      <c r="O102" s="671"/>
      <c r="P102" s="671"/>
      <c r="Q102" s="671"/>
      <c r="R102" s="77" t="str">
        <f>IF($J97=$A$146,"K2","SG")</f>
        <v>SG</v>
      </c>
      <c r="S102" s="78"/>
      <c r="U102" s="672" t="s">
        <v>165</v>
      </c>
      <c r="V102" s="672"/>
      <c r="W102" s="672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hidden="1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1" t="str">
        <f>IF($J$17=$A$146,"","Risco")</f>
        <v>Risco</v>
      </c>
      <c r="K103" s="671"/>
      <c r="L103" s="671"/>
      <c r="M103" s="671"/>
      <c r="N103" s="671"/>
      <c r="O103" s="671"/>
      <c r="P103" s="671"/>
      <c r="Q103" s="671"/>
      <c r="R103" s="77" t="str">
        <f>IF($J97=$A$146,"","R")</f>
        <v>R</v>
      </c>
      <c r="S103" s="78"/>
      <c r="U103" s="672" t="s">
        <v>165</v>
      </c>
      <c r="V103" s="672"/>
      <c r="W103" s="672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hidden="1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1" t="str">
        <f>IF($J$17=$A$146,"","Despesas Financeiras")</f>
        <v>Despesas Financeiras</v>
      </c>
      <c r="K104" s="671"/>
      <c r="L104" s="671"/>
      <c r="M104" s="671"/>
      <c r="N104" s="671"/>
      <c r="O104" s="671"/>
      <c r="P104" s="671"/>
      <c r="Q104" s="671"/>
      <c r="R104" s="77" t="str">
        <f>IF($J97=$A$146,"","DF")</f>
        <v>DF</v>
      </c>
      <c r="S104" s="78"/>
      <c r="U104" s="672" t="s">
        <v>165</v>
      </c>
      <c r="V104" s="672"/>
      <c r="W104" s="672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hidden="1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1" t="str">
        <f>IF($J$17=$A$146,"Margem bruta da empresa de consultoria","Lucro")</f>
        <v>Lucro</v>
      </c>
      <c r="K105" s="671"/>
      <c r="L105" s="671"/>
      <c r="M105" s="671"/>
      <c r="N105" s="671"/>
      <c r="O105" s="671"/>
      <c r="P105" s="671"/>
      <c r="Q105" s="671"/>
      <c r="R105" s="77" t="str">
        <f>IF($J97=$A$146,"K3","L")</f>
        <v>L</v>
      </c>
      <c r="S105" s="78"/>
      <c r="U105" s="672" t="s">
        <v>165</v>
      </c>
      <c r="V105" s="672"/>
      <c r="W105" s="672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hidden="1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1" t="s">
        <v>167</v>
      </c>
      <c r="K106" s="671"/>
      <c r="L106" s="671"/>
      <c r="M106" s="671"/>
      <c r="N106" s="671"/>
      <c r="O106" s="671"/>
      <c r="P106" s="671"/>
      <c r="Q106" s="671"/>
      <c r="R106" s="77" t="s">
        <v>168</v>
      </c>
      <c r="S106" s="78"/>
      <c r="U106" s="672" t="s">
        <v>165</v>
      </c>
      <c r="V106" s="672"/>
      <c r="W106" s="672"/>
      <c r="X106" s="79">
        <v>3.6499999999999998E-2</v>
      </c>
      <c r="Y106" s="79">
        <v>3.6499999999999998E-2</v>
      </c>
      <c r="Z106" s="79">
        <v>3.6499999999999998E-2</v>
      </c>
    </row>
    <row r="107" spans="1:26" ht="15" hidden="1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1" t="s">
        <v>169</v>
      </c>
      <c r="K107" s="671"/>
      <c r="L107" s="671"/>
      <c r="M107" s="671"/>
      <c r="N107" s="671"/>
      <c r="O107" s="671"/>
      <c r="P107" s="671"/>
      <c r="Q107" s="671"/>
      <c r="R107" s="77" t="s">
        <v>170</v>
      </c>
      <c r="S107" s="79">
        <f ca="1">IF(AND($J97&lt;&gt;$A$145,COUNTA(OFFSET(S100,1,0,6))&gt;0),$R$11*$R$10,0)</f>
        <v>0</v>
      </c>
      <c r="U107" s="672" t="s">
        <v>165</v>
      </c>
      <c r="V107" s="672"/>
      <c r="W107" s="672"/>
      <c r="X107" s="79">
        <v>0</v>
      </c>
      <c r="Y107" s="79">
        <v>2.5000000000000001E-2</v>
      </c>
      <c r="Z107" s="79">
        <v>0.05</v>
      </c>
    </row>
    <row r="108" spans="1:26" ht="15" hidden="1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1" t="s">
        <v>171</v>
      </c>
      <c r="K108" s="671"/>
      <c r="L108" s="671"/>
      <c r="M108" s="671"/>
      <c r="N108" s="671"/>
      <c r="O108" s="671"/>
      <c r="P108" s="671"/>
      <c r="Q108" s="671"/>
      <c r="R108" s="77" t="s">
        <v>172</v>
      </c>
      <c r="S108" s="79">
        <f ca="1">IF(BDI.Opcao&lt;&gt;"Desonerado",0,IF(AND($J97&lt;&gt;$A$145,COUNTA(OFFSET(S100,1,0,6))&gt;0),4.5%,0%))</f>
        <v>0</v>
      </c>
      <c r="U108" s="672" t="s">
        <v>165</v>
      </c>
      <c r="V108" s="672"/>
      <c r="W108" s="672"/>
      <c r="X108" s="80">
        <v>0</v>
      </c>
      <c r="Y108" s="80">
        <v>4.4999999999999998E-2</v>
      </c>
      <c r="Z108" s="80">
        <v>4.4999999999999998E-2</v>
      </c>
    </row>
    <row r="109" spans="1:26" ht="15" hidden="1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1" t="s">
        <v>173</v>
      </c>
      <c r="K109" s="671"/>
      <c r="L109" s="671"/>
      <c r="M109" s="671"/>
      <c r="N109" s="671"/>
      <c r="O109" s="671"/>
      <c r="P109" s="671"/>
      <c r="Q109" s="671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hidden="1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4" t="s">
        <v>174</v>
      </c>
      <c r="K110" s="674"/>
      <c r="L110" s="674"/>
      <c r="M110" s="674"/>
      <c r="N110" s="674"/>
      <c r="O110" s="674"/>
      <c r="P110" s="674"/>
      <c r="Q110" s="674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hidden="1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hidden="1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5" t="e">
        <f ca="1">IF(U109&lt;&gt;"ok","Anexo: Relatório Técnico Circunstanciado justificando a adoção do percentual de cada parcela do BDI.","")</f>
        <v>#N/A</v>
      </c>
      <c r="L112" s="675"/>
      <c r="M112" s="675"/>
      <c r="N112" s="675"/>
      <c r="O112" s="675"/>
      <c r="P112" s="675"/>
      <c r="Q112" s="675"/>
      <c r="R112" s="675"/>
      <c r="S112" s="675"/>
    </row>
    <row r="113" spans="1:19" hidden="1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hidden="1" x14ac:dyDescent="0.2">
      <c r="A114"/>
      <c r="B114"/>
      <c r="C114"/>
      <c r="D114"/>
      <c r="E114"/>
      <c r="F114"/>
      <c r="G114"/>
      <c r="I114" t="str">
        <f t="shared" ca="1" si="2"/>
        <v/>
      </c>
      <c r="J114" s="677" t="s">
        <v>177</v>
      </c>
      <c r="K114" s="677"/>
      <c r="L114" s="677"/>
      <c r="M114" s="677"/>
      <c r="N114" s="677"/>
      <c r="O114" s="677"/>
      <c r="P114" s="677"/>
      <c r="Q114" s="677"/>
      <c r="R114" s="677"/>
      <c r="S114" s="677"/>
    </row>
    <row r="115" spans="1:19" ht="15.75" hidden="1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8" t="s">
        <v>178</v>
      </c>
      <c r="N115" s="679" t="str">
        <f>IF($J97=$A$146,"(1+K1+K2)*(1+K3)","(1+AC + S + R + G)*(1 + DF)*(1+L)")</f>
        <v>(1+AC + S + R + G)*(1 + DF)*(1+L)</v>
      </c>
      <c r="O115" s="679"/>
      <c r="P115" s="679"/>
      <c r="Q115" s="680" t="s">
        <v>179</v>
      </c>
      <c r="R115" s="85"/>
      <c r="S115" s="85"/>
    </row>
    <row r="116" spans="1:19" ht="15.75" hidden="1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8"/>
      <c r="N116" s="670" t="s">
        <v>180</v>
      </c>
      <c r="O116" s="670"/>
      <c r="P116" s="670"/>
      <c r="Q116" s="680"/>
      <c r="R116" s="85"/>
      <c r="S116" s="85"/>
    </row>
    <row r="117" spans="1:19" ht="15" hidden="1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hidden="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4"/>
      <c r="L118" s="664"/>
      <c r="M118" s="664"/>
      <c r="N118" s="664"/>
      <c r="O118" s="664"/>
      <c r="P118" s="664"/>
      <c r="Q118" s="664"/>
      <c r="R118" s="664"/>
      <c r="S118" s="664"/>
    </row>
    <row r="119" spans="1:19" hidden="1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hidden="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4"/>
      <c r="L120" s="664"/>
      <c r="M120" s="664"/>
      <c r="N120" s="664"/>
      <c r="O120" s="664"/>
      <c r="P120" s="664"/>
      <c r="Q120" s="664"/>
      <c r="R120" s="664"/>
      <c r="S120" s="664"/>
    </row>
    <row r="121" spans="1:19" hidden="1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hidden="1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hidden="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19" hidden="1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hidden="1" x14ac:dyDescent="0.2">
      <c r="A125"/>
      <c r="B125"/>
      <c r="C125"/>
      <c r="D125"/>
      <c r="E125"/>
      <c r="F125"/>
      <c r="G125"/>
      <c r="I125" t="str">
        <f t="shared" ca="1" si="2"/>
        <v/>
      </c>
      <c r="J125" s="666" t="str">
        <f>Import.Município</f>
        <v>CÉU AZUL</v>
      </c>
      <c r="K125" s="666"/>
      <c r="L125" s="666"/>
      <c r="M125" s="666"/>
      <c r="P125" s="667">
        <f ca="1">DADOS!$F$25</f>
        <v>44134</v>
      </c>
      <c r="Q125" s="667"/>
      <c r="R125" s="667"/>
      <c r="S125" s="667"/>
    </row>
    <row r="126" spans="1:19" hidden="1" x14ac:dyDescent="0.2">
      <c r="A126"/>
      <c r="B126"/>
      <c r="C126"/>
      <c r="D126"/>
      <c r="E126"/>
      <c r="F126"/>
      <c r="G126"/>
      <c r="I126" t="str">
        <f t="shared" ca="1" si="2"/>
        <v/>
      </c>
      <c r="J126" s="668" t="s">
        <v>187</v>
      </c>
      <c r="K126" s="668"/>
      <c r="L126" s="668"/>
      <c r="M126" s="668"/>
      <c r="O126" s="90"/>
      <c r="P126" s="91" t="s">
        <v>188</v>
      </c>
      <c r="Q126" s="92"/>
      <c r="R126" s="92"/>
      <c r="S126" s="92"/>
    </row>
    <row r="127" spans="1:19" ht="30" hidden="1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hidden="1" x14ac:dyDescent="0.2">
      <c r="A128"/>
      <c r="B128"/>
      <c r="C128"/>
      <c r="D128"/>
      <c r="E128"/>
      <c r="F128"/>
      <c r="G128"/>
      <c r="I128" t="str">
        <f t="shared" ca="1" si="2"/>
        <v/>
      </c>
      <c r="J128" s="669"/>
      <c r="K128" s="669"/>
      <c r="L128" s="669"/>
      <c r="M128" s="669"/>
      <c r="N128" s="93"/>
    </row>
    <row r="129" spans="1:14" hidden="1" x14ac:dyDescent="0.2">
      <c r="A129"/>
      <c r="B129"/>
      <c r="C129"/>
      <c r="D129"/>
      <c r="E129"/>
      <c r="F129"/>
      <c r="G129"/>
      <c r="I129" t="str">
        <f t="shared" ca="1" si="2"/>
        <v/>
      </c>
      <c r="J129" s="663" t="s">
        <v>189</v>
      </c>
      <c r="K129" s="663"/>
      <c r="L129" s="663"/>
      <c r="M129" s="663"/>
      <c r="N129" s="94"/>
    </row>
    <row r="130" spans="1:14" ht="14.25" hidden="1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GUSTAVO FRANCESCHINI</v>
      </c>
      <c r="L130" s="97"/>
      <c r="M130" s="97"/>
      <c r="N130" s="98"/>
    </row>
    <row r="131" spans="1:14" ht="14.25" hidden="1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126178/D - PR</v>
      </c>
      <c r="L131" s="97"/>
      <c r="M131" s="97"/>
      <c r="N131" s="98"/>
    </row>
    <row r="132" spans="1:14" ht="14.25" hidden="1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 t="str">
        <v>1720204868649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algorithmName="SHA-512" hashValue="DZCh8heB4fsLTm2COLPxIyBoKFuW2Z5vW8Aw6eSikiataYVNGPEL12ehC/Gjg6BuCkFUMmriN1OREkb2sek6yA==" saltValue="Gxbbflf7wrlicYjoFsoOUQ==" spinCount="100000" sheet="1" autoFilter="0"/>
  <autoFilter ref="I11:I132">
    <filterColumn colId="0">
      <customFilters>
        <customFilter operator="notEqual" val=" "/>
      </customFilters>
    </filterColumn>
  </autoFilter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40" type="noConversion"/>
  <conditionalFormatting sqref="J30:S30 J70:S70 J110:S110">
    <cfRule type="expression" dxfId="1204" priority="2" stopIfTrue="1">
      <formula>DESONERACAO="não"</formula>
    </cfRule>
  </conditionalFormatting>
  <conditionalFormatting sqref="U29:W29 U69:W69 U109:W109">
    <cfRule type="expression" dxfId="1203" priority="3" stopIfTrue="1">
      <formula>AND(U29&lt;&gt;"OK",U29&lt;&gt;"-",U29&lt;&gt;"")</formula>
    </cfRule>
    <cfRule type="cellIs" dxfId="1202" priority="4" stopIfTrue="1" operator="equal">
      <formula>"OK"</formula>
    </cfRule>
  </conditionalFormatting>
  <conditionalFormatting sqref="S29 S69 S109">
    <cfRule type="expression" dxfId="1201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r:id="rId1"/>
  <headerFooter alignWithMargins="0">
    <oddHeader>&amp;L_</oddHeader>
    <oddFooter>&amp;LPMv3.0.4&amp;R&amp;P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zoomScale="90" zoomScaleNormal="90" zoomScaleSheetLayoutView="90" workbookViewId="0">
      <pane xSplit="19" ySplit="15" topLeftCell="T54" activePane="bottomRight" state="frozen"/>
      <selection activeCell="L1" sqref="L1"/>
      <selection pane="topRight" activeCell="T1" sqref="T1"/>
      <selection pane="bottomLeft" activeCell="L16" sqref="L16"/>
      <selection pane="bottomRight" activeCell="M13" sqref="M13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3" t="s">
        <v>440</v>
      </c>
      <c r="P4" s="683"/>
      <c r="Q4" s="112" t="s">
        <v>441</v>
      </c>
      <c r="R4" s="112" t="s">
        <v>146</v>
      </c>
      <c r="S4" s="683" t="s">
        <v>201</v>
      </c>
      <c r="T4" s="683"/>
      <c r="U4" s="683"/>
      <c r="V4" s="683"/>
      <c r="W4" s="683"/>
      <c r="X4" s="683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0.26319999999999999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6">
        <f>Import.CR</f>
        <v>0</v>
      </c>
      <c r="P5" s="686"/>
      <c r="Q5" s="118">
        <f>Import.SICONV</f>
        <v>0</v>
      </c>
      <c r="R5" s="119" t="str">
        <f>Import.Proponente</f>
        <v>MUNICÍPIO DE CÉU AZUL</v>
      </c>
      <c r="S5" s="686" t="str">
        <f>Import.Apelido</f>
        <v>RECAPE ASFÁLTICO NO MUNICÍPIO DE CÉU AZUL</v>
      </c>
      <c r="T5" s="686"/>
      <c r="U5" s="686"/>
      <c r="V5" s="686"/>
      <c r="W5" s="686"/>
      <c r="X5" s="686"/>
      <c r="Y5" s="120"/>
      <c r="Z5" s="120"/>
      <c r="AA5" s="120"/>
      <c r="AB5" s="120"/>
      <c r="AC5" s="105"/>
      <c r="AE5" s="693" t="s">
        <v>199</v>
      </c>
      <c r="AF5" s="693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3" t="s">
        <v>203</v>
      </c>
      <c r="P7" s="683"/>
      <c r="Q7" s="112" t="s">
        <v>204</v>
      </c>
      <c r="R7" s="112" t="str">
        <f>IF(TIPOORCAMENTO="Licitado","NOME DA EMPRESA","DESCRIÇÃO DO LOTE")</f>
        <v>DESCRIÇÃO DO LOTE</v>
      </c>
      <c r="S7" s="694" t="str">
        <f>IF(TIPOORCAMENTO="Licitado","REGIME DE EXECUÇÃO","MUNICÍPIO / UF")</f>
        <v>MUNICÍPIO / UF</v>
      </c>
      <c r="T7" s="694"/>
      <c r="U7" s="694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7" t="s">
        <v>206</v>
      </c>
      <c r="AL7" s="695" t="s">
        <v>207</v>
      </c>
    </row>
    <row r="8" spans="1:40" ht="12.75" customHeight="1" x14ac:dyDescent="0.2">
      <c r="A8" s="115"/>
      <c r="B8" s="115"/>
      <c r="C8" s="115"/>
      <c r="D8" s="105"/>
      <c r="F8" s="698" t="str">
        <f ca="1">IF(LEN(INFO("release"))&gt;5,"'Referência "&amp;Excel_BuiltIn_Database&amp;".xls'#Banco.$a5:$a$65536","'[Referência "&amp;Excel_BuiltIn_Database&amp;".xls]Banco'!$a5:$a$65536")</f>
        <v>'[Referência 05-2020.xls]Banco'!$a5:$a$65536</v>
      </c>
      <c r="G8" s="698"/>
      <c r="H8" s="698"/>
      <c r="I8" s="698"/>
      <c r="J8" s="698"/>
      <c r="K8" s="698"/>
      <c r="L8" s="676" t="s">
        <v>208</v>
      </c>
      <c r="M8" s="105"/>
      <c r="N8" s="105"/>
      <c r="O8" s="686" t="str">
        <f ca="1">IF(ISERROR(INDIRECT($F$9)),"(N/D: 'Referência "&amp;Excel_BuiltIn_Database&amp;".xls)",INDIRECT($F$9))</f>
        <v>CURITIBA</v>
      </c>
      <c r="P8" s="686"/>
      <c r="Q8" s="129" t="str">
        <f ca="1">TEXT(Import.DataBase,"mm-aa")&amp;IF(DESONERACAO="Sim"," (DES.)"," (N DES.)")</f>
        <v>05-20 (DES.)</v>
      </c>
      <c r="R8" s="119" t="str">
        <f>IF(TIPOORCAMENTO="Licitado",Import.empresa,Import.DescLote)</f>
        <v>RECAPE ASFÁLTICO EM DIVERSAS RUAS DO MUNICÍPIO</v>
      </c>
      <c r="S8" s="699" t="str">
        <f>IF(TIPOORCAMENTO="Licitado",Import.RegimeExecução,Import.Município)</f>
        <v>CÉU AZUL</v>
      </c>
      <c r="T8" s="699"/>
      <c r="U8" s="699"/>
      <c r="V8" s="130" t="str">
        <f ca="1">IF(TIPOORCAMENTO="Licitado","",TEXT(F5,"0,00%"))</f>
        <v>26,32%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6" t="s">
        <v>209</v>
      </c>
      <c r="Z8" s="676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7"/>
      <c r="AL8" s="695"/>
      <c r="AN8" s="105"/>
    </row>
    <row r="9" spans="1:40" ht="12.75" customHeight="1" x14ac:dyDescent="0.2">
      <c r="A9" s="105"/>
      <c r="B9" s="105"/>
      <c r="C9" s="105"/>
      <c r="D9" s="105"/>
      <c r="F9" s="698" t="str">
        <f ca="1">IF(LEN(INFO("release"))&gt;5,"'Referência "&amp;Excel_BuiltIn_Database&amp;".xls'#Banco.$d$3","'[Referência "&amp;Excel_BuiltIn_Database&amp;".xls]Banco'!$d$3")</f>
        <v>'[Referência 05-2020.xls]Banco'!$d$3</v>
      </c>
      <c r="G9" s="698"/>
      <c r="H9" s="698"/>
      <c r="I9" s="698"/>
      <c r="J9" s="698"/>
      <c r="K9" s="698"/>
      <c r="L9" s="676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6"/>
      <c r="Z9" s="676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7"/>
      <c r="AL9" s="695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6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6"/>
      <c r="Z10" s="676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7"/>
      <c r="AL10" s="695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6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6"/>
      <c r="Z11" s="676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697"/>
      <c r="AL11" s="695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6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6"/>
      <c r="Z12" s="676"/>
      <c r="AA12" s="696" t="s">
        <v>215</v>
      </c>
      <c r="AB12" s="696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
(%)")</f>
        <v>BDI
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0.26319999999999999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1" t="str">
        <f>Import.DescLote</f>
        <v>RECAPE ASFÁLTICO EM DIVERSAS RUAS DO MUNICÍPIO</v>
      </c>
      <c r="P15" s="701"/>
      <c r="Q15" s="701"/>
      <c r="R15" s="701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462522.86999999988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462522.86999999988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462522.86999999988</v>
      </c>
      <c r="AN15" s="619"/>
    </row>
    <row r="16" spans="1:40" ht="25.5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IF($C16="S",REFERENCIA.Descricao,"RECAPE ASFÁLTICO EM DIVERSAS RUAS DO MINICÍPIO DE CÉU AZUL")</f>
        <v>RECAPE ASFÁLTICO EM DIVERSAS RUAS DO MINICÍPIO DE CÉU AZUL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462522.87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462522.86999999988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0.26319999999999999</v>
      </c>
      <c r="AJ16" s="553"/>
      <c r="AL16" s="574"/>
      <c r="AM16" s="431">
        <f t="shared" ca="1" si="0"/>
        <v>462522.87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5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>
        <f ca="1">IF(OR($C17="S",$C17=0),0,MATCH(OFFSET($D17,0,$C17)+IF($C17&lt;&gt;1,1,COUNTIF(QCI!$A$13:$A$24,ORÇAMENTO!E17)),OFFSET($D17,1,$C17,ROW($C$266)-ROW($C17)),0))</f>
        <v>5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IF($C17="S",REFERENCIA.Descricao,"SERVIÇOS PRELIMINARES")</f>
        <v>SERVIÇOS PRELIMINARES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4259.4799999999996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4259.4800000000005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0.26319999999999999</v>
      </c>
      <c r="AJ17" s="553"/>
      <c r="AL17" s="574"/>
      <c r="AM17" s="431">
        <f t="shared" ca="1" si="0"/>
        <v>4259.4799999999996</v>
      </c>
      <c r="AN17" s="617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455</v>
      </c>
      <c r="Q18" s="149" t="s">
        <v>456</v>
      </c>
      <c r="R18" s="150" t="str">
        <f t="shared" ref="R18:R79" ca="1" si="24">IF($C18="S",REFERENCIA.Descricao,"(digite a descrição aqui)")</f>
        <v>PLACA DE OBRA (PARA CONSTRUCAO CIVIL) EM CHAPA GALVANIZADA *N. 22*, ADESIVADA, DE *2,0 X 1,125* M</v>
      </c>
      <c r="S18" s="151" t="str">
        <f t="shared" ca="1" si="13"/>
        <v xml:space="preserve">M2    </v>
      </c>
      <c r="T18" s="152">
        <f ca="1">OFFSET(CÁLCULO!H$15,ROW($T18)-ROW(T$15),0)</f>
        <v>2.25</v>
      </c>
      <c r="U18" s="153">
        <v>280</v>
      </c>
      <c r="V18" s="154" t="s">
        <v>155</v>
      </c>
      <c r="W18" s="152">
        <f t="shared" ca="1" si="14"/>
        <v>353.7</v>
      </c>
      <c r="X18" s="155">
        <f t="shared" ca="1" si="15"/>
        <v>795.83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795.83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SINAPI-I 4813</v>
      </c>
      <c r="AF18" s="160">
        <f t="shared" ca="1" si="20"/>
        <v>10045</v>
      </c>
      <c r="AG18" s="550">
        <f t="shared" ca="1" si="21"/>
        <v>280</v>
      </c>
      <c r="AH18" s="551">
        <f t="shared" ca="1" si="22"/>
        <v>0.26319999999999999</v>
      </c>
      <c r="AJ18" s="553"/>
      <c r="AL18" s="574"/>
      <c r="AM18" s="431">
        <f t="shared" ca="1" si="0"/>
        <v>795.83</v>
      </c>
      <c r="AN18" s="617">
        <f t="shared" ca="1" si="23"/>
        <v>353.7</v>
      </c>
    </row>
    <row r="19" spans="1:40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459</v>
      </c>
      <c r="Q19" s="149" t="s">
        <v>448</v>
      </c>
      <c r="R19" s="150" t="str">
        <f t="shared" ca="1" si="24"/>
        <v>LIMPEZA E LAVAGEM DE PISTA</v>
      </c>
      <c r="S19" s="151" t="str">
        <f t="shared" ca="1" si="13"/>
        <v>M2</v>
      </c>
      <c r="T19" s="152">
        <f ca="1">OFFSET(CÁLCULO!H$15,ROW($T19)-ROW(T$15),0)</f>
        <v>7369.47</v>
      </c>
      <c r="U19" s="153">
        <v>0.37</v>
      </c>
      <c r="V19" s="154" t="s">
        <v>155</v>
      </c>
      <c r="W19" s="152">
        <f t="shared" ca="1" si="14"/>
        <v>0.47</v>
      </c>
      <c r="X19" s="155">
        <f t="shared" ca="1" si="15"/>
        <v>3463.65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3463.65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PM - CURITIBA PAV-77</v>
      </c>
      <c r="AF19" s="160">
        <f t="shared" ca="1" si="20"/>
        <v>11593</v>
      </c>
      <c r="AG19" s="550">
        <f t="shared" ca="1" si="21"/>
        <v>0.37</v>
      </c>
      <c r="AH19" s="551">
        <f t="shared" ca="1" si="22"/>
        <v>0.26319999999999999</v>
      </c>
      <c r="AJ19" s="553"/>
      <c r="AL19" s="574"/>
      <c r="AM19" s="431">
        <f t="shared" ca="1" si="0"/>
        <v>3463.65</v>
      </c>
      <c r="AN19" s="617">
        <f t="shared" ca="1" si="23"/>
        <v>0.47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2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/>
      </c>
      <c r="M20" s="145" t="s">
        <v>198</v>
      </c>
      <c r="N20" s="146" t="str">
        <f t="shared" ca="1" si="11"/>
        <v>Serviço</v>
      </c>
      <c r="O20" s="147" t="str">
        <f t="shared" ca="1" si="12"/>
        <v>-</v>
      </c>
      <c r="P20" s="148" t="s">
        <v>246</v>
      </c>
      <c r="Q20" s="149"/>
      <c r="R20" s="150" t="str">
        <f t="shared" ca="1" si="24"/>
        <v>(Sem Código)</v>
      </c>
      <c r="S20" s="151" t="str">
        <f t="shared" ca="1" si="13"/>
        <v>-</v>
      </c>
      <c r="T20" s="152">
        <f ca="1">OFFSET(CÁLCULO!H$15,ROW($T20)-ROW(T$15),0)</f>
        <v>0</v>
      </c>
      <c r="U20" s="153"/>
      <c r="V20" s="154" t="s">
        <v>155</v>
      </c>
      <c r="W20" s="152">
        <f t="shared" ca="1" si="14"/>
        <v>0</v>
      </c>
      <c r="X20" s="155">
        <f t="shared" ca="1" si="15"/>
        <v>0</v>
      </c>
      <c r="Y20" s="156" t="s">
        <v>244</v>
      </c>
      <c r="Z20" t="str">
        <f t="shared" ca="1" si="16"/>
        <v/>
      </c>
      <c r="AA20" s="157">
        <f ca="1">IF($C20="S",IF($Z20="CP",$X20,IF($Z20="RA",(($X20)*QCI!$AA$3),0)),SomaAgrup)</f>
        <v>0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b">
        <f t="shared" ca="1" si="19"/>
        <v>0</v>
      </c>
      <c r="AF20" s="160" t="str">
        <f t="shared" ca="1" si="20"/>
        <v>(Sem Código)</v>
      </c>
      <c r="AG20" s="550">
        <f t="shared" ca="1" si="21"/>
        <v>0</v>
      </c>
      <c r="AH20" s="551">
        <f t="shared" ca="1" si="22"/>
        <v>0.26319999999999999</v>
      </c>
      <c r="AJ20" s="553"/>
      <c r="AL20" s="574"/>
      <c r="AM20" s="431">
        <f t="shared" ca="1" si="0"/>
        <v>0</v>
      </c>
      <c r="AN20" s="617">
        <f t="shared" ca="1" si="23"/>
        <v>0</v>
      </c>
    </row>
    <row r="21" spans="1:40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2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/>
      </c>
      <c r="M21" s="145" t="s">
        <v>198</v>
      </c>
      <c r="N21" s="146" t="str">
        <f t="shared" ca="1" si="11"/>
        <v>Serviço</v>
      </c>
      <c r="O21" s="147" t="str">
        <f t="shared" ca="1" si="12"/>
        <v>-</v>
      </c>
      <c r="P21" s="148" t="s">
        <v>246</v>
      </c>
      <c r="Q21" s="149"/>
      <c r="R21" s="150" t="str">
        <f t="shared" ca="1" si="24"/>
        <v>(Sem Código)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0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0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b">
        <f t="shared" ca="1" si="19"/>
        <v>0</v>
      </c>
      <c r="AF21" s="160" t="str">
        <f t="shared" ca="1" si="20"/>
        <v>(Sem Código)</v>
      </c>
      <c r="AG21" s="550">
        <f t="shared" ca="1" si="21"/>
        <v>0</v>
      </c>
      <c r="AH21" s="551">
        <f t="shared" ca="1" si="22"/>
        <v>0.26319999999999999</v>
      </c>
      <c r="AJ21" s="553"/>
      <c r="AL21" s="574"/>
      <c r="AM21" s="431">
        <f t="shared" ca="1" si="0"/>
        <v>0</v>
      </c>
      <c r="AN21" s="617">
        <f t="shared" ca="1" si="23"/>
        <v>0</v>
      </c>
    </row>
    <row r="22" spans="1:40" x14ac:dyDescent="0.2">
      <c r="A22">
        <f t="shared" si="1"/>
        <v>2</v>
      </c>
      <c r="B22">
        <f t="shared" ca="1" si="2"/>
        <v>2</v>
      </c>
      <c r="C22">
        <f t="shared" ca="1" si="3"/>
        <v>2</v>
      </c>
      <c r="D22">
        <f t="shared" ca="1" si="4"/>
        <v>8</v>
      </c>
      <c r="E22">
        <f ca="1">IF($C22=1,OFFSET(E22,-1,0)+MAX(1,COUNTIF(QCI!$A$13:$A$24,OFFSET(ORÇAMENTO!E22,-1,0))),OFFSET(E22,-1,0))</f>
        <v>1</v>
      </c>
      <c r="F22">
        <f t="shared" ca="1" si="5"/>
        <v>2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t="shared" ca="1" si="9"/>
        <v>244</v>
      </c>
      <c r="K22">
        <f ca="1">IF(OR($C22="S",$C22=0),0,MATCH(OFFSET($D22,0,$C22)+IF($C22&lt;&gt;1,1,COUNTIF(QCI!$A$13:$A$24,ORÇAMENTO!E22)),OFFSET($D22,1,$C22,ROW($C$266)-ROW($C22)),0))</f>
        <v>8</v>
      </c>
      <c r="L22" s="144" t="str">
        <f t="shared" ca="1" si="10"/>
        <v>F</v>
      </c>
      <c r="M22" s="145" t="s">
        <v>195</v>
      </c>
      <c r="N22" s="146" t="str">
        <f t="shared" ca="1" si="11"/>
        <v>Nível 2</v>
      </c>
      <c r="O22" s="147" t="str">
        <f t="shared" ca="1" si="12"/>
        <v>1.2.</v>
      </c>
      <c r="P22" s="148" t="s">
        <v>246</v>
      </c>
      <c r="Q22" s="149"/>
      <c r="R22" s="150" t="str">
        <f ca="1">IF($C22="S",REFERENCIA.Descricao,"REPERFILAMENTO ASFÁLTICO")</f>
        <v>REPERFILAMENTO ASFÁLTICO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125956.35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125956.35</v>
      </c>
      <c r="AB22" s="158">
        <f t="shared" ca="1" si="17"/>
        <v>0</v>
      </c>
      <c r="AC22" s="159" t="str">
        <f t="shared" ca="1" si="18"/>
        <v/>
      </c>
      <c r="AD22" s="105">
        <f ca="1">IF(C22&lt;=CRONO.NivelExibicao,MAX($AD$15:OFFSET(AD22,-1,0))+IF($C22&lt;&gt;1,1,MAX(1,COUNTIF(QCI!$A$13:$A$24,OFFSET($E22,-1,0)))),"")</f>
        <v>3</v>
      </c>
      <c r="AE22" s="115" t="b">
        <f t="shared" ca="1" si="19"/>
        <v>0</v>
      </c>
      <c r="AF22" s="160" t="str">
        <f t="shared" ca="1" si="20"/>
        <v>(Sem Código)</v>
      </c>
      <c r="AG22" s="550">
        <f t="shared" ca="1" si="21"/>
        <v>0</v>
      </c>
      <c r="AH22" s="551">
        <f t="shared" ca="1" si="22"/>
        <v>0.26319999999999999</v>
      </c>
      <c r="AJ22" s="553"/>
      <c r="AL22" s="574"/>
      <c r="AM22" s="431">
        <f t="shared" ca="1" si="0"/>
        <v>125956.35</v>
      </c>
      <c r="AN22" s="617">
        <f t="shared" ca="1" si="23"/>
        <v>0</v>
      </c>
    </row>
    <row r="23" spans="1:40" hidden="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0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/>
      </c>
      <c r="M23" s="145" t="s">
        <v>198</v>
      </c>
      <c r="N23" s="146" t="str">
        <f t="shared" ca="1" si="11"/>
        <v>Serviço</v>
      </c>
      <c r="O23" s="147" t="str">
        <f t="shared" ca="1" si="12"/>
        <v>-</v>
      </c>
      <c r="P23" s="148" t="s">
        <v>246</v>
      </c>
      <c r="Q23" s="149"/>
      <c r="R23" s="150" t="str">
        <f t="shared" ca="1" si="24"/>
        <v>(Sem Código)</v>
      </c>
      <c r="S23" s="151" t="str">
        <f t="shared" ca="1" si="13"/>
        <v>-</v>
      </c>
      <c r="T23" s="152">
        <f ca="1">OFFSET(CÁLCULO!H$15,ROW($T23)-ROW(T$15),0)</f>
        <v>0</v>
      </c>
      <c r="U23" s="153"/>
      <c r="V23" s="154" t="s">
        <v>155</v>
      </c>
      <c r="W23" s="152">
        <f t="shared" ca="1" si="14"/>
        <v>0</v>
      </c>
      <c r="X23" s="155">
        <f t="shared" ca="1" si="15"/>
        <v>0</v>
      </c>
      <c r="Y23" s="156" t="s">
        <v>244</v>
      </c>
      <c r="Z23" t="str">
        <f t="shared" ca="1" si="16"/>
        <v/>
      </c>
      <c r="AA23" s="157">
        <f ca="1">IF($C23="S",IF($Z23="CP",$X23,IF($Z23="RA",(($X23)*QCI!$AA$3),0)),SomaAgrup)</f>
        <v>0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b">
        <f t="shared" ca="1" si="19"/>
        <v>0</v>
      </c>
      <c r="AF23" s="160" t="str">
        <f t="shared" ca="1" si="20"/>
        <v>(Sem Código)</v>
      </c>
      <c r="AG23" s="550">
        <f t="shared" ca="1" si="21"/>
        <v>0</v>
      </c>
      <c r="AH23" s="551">
        <f t="shared" ca="1" si="22"/>
        <v>0.26319999999999999</v>
      </c>
      <c r="AJ23" s="553"/>
      <c r="AL23" s="574"/>
      <c r="AM23" s="431">
        <f t="shared" ca="1" si="0"/>
        <v>0</v>
      </c>
      <c r="AN23" s="617">
        <f t="shared" ca="1" si="23"/>
        <v>0</v>
      </c>
    </row>
    <row r="24" spans="1:40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1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1.2.1.</v>
      </c>
      <c r="P24" s="148" t="s">
        <v>449</v>
      </c>
      <c r="Q24" s="149" t="s">
        <v>460</v>
      </c>
      <c r="R24" s="150" t="str">
        <f t="shared" ca="1" si="24"/>
        <v>PINTURA DE LIGAÇÃO COM RR-1C - EXCLUSIVE EMULSÃO</v>
      </c>
      <c r="S24" s="151" t="str">
        <f t="shared" ca="1" si="13"/>
        <v>M2</v>
      </c>
      <c r="T24" s="152">
        <f ca="1">OFFSET(CÁLCULO!H$15,ROW($T24)-ROW(T$15),0)</f>
        <v>7369.47</v>
      </c>
      <c r="U24" s="153">
        <v>0.21</v>
      </c>
      <c r="V24" s="154" t="s">
        <v>155</v>
      </c>
      <c r="W24" s="152">
        <f t="shared" ca="1" si="14"/>
        <v>0.27</v>
      </c>
      <c r="X24" s="155">
        <f t="shared" ca="1" si="15"/>
        <v>1989.76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1989.76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DER 561100-S</v>
      </c>
      <c r="AF24" s="160">
        <f t="shared" ca="1" si="20"/>
        <v>11602</v>
      </c>
      <c r="AG24" s="550">
        <f t="shared" ca="1" si="21"/>
        <v>0.21</v>
      </c>
      <c r="AH24" s="551">
        <f t="shared" ca="1" si="22"/>
        <v>0.26319999999999999</v>
      </c>
      <c r="AJ24" s="553"/>
      <c r="AL24" s="574"/>
      <c r="AM24" s="431">
        <f t="shared" ca="1" si="0"/>
        <v>1989.76</v>
      </c>
      <c r="AN24" s="617">
        <f t="shared" ca="1" si="23"/>
        <v>0.27</v>
      </c>
    </row>
    <row r="25" spans="1:40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2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1.2.2.</v>
      </c>
      <c r="P25" s="148" t="s">
        <v>449</v>
      </c>
      <c r="Q25" s="149" t="s">
        <v>461</v>
      </c>
      <c r="R25" s="150" t="str">
        <f t="shared" ca="1" si="24"/>
        <v>FORNECIMENTO DE EMULSÃO RR-1C PARA PINTURA DE LIGAÇÃO</v>
      </c>
      <c r="S25" s="151" t="str">
        <f t="shared" ca="1" si="13"/>
        <v>TON</v>
      </c>
      <c r="T25" s="152">
        <f ca="1">OFFSET(CÁLCULO!H$15,ROW($T25)-ROW(T$15),0)</f>
        <v>3.6899999999999995</v>
      </c>
      <c r="U25" s="153">
        <v>2420.1799999999998</v>
      </c>
      <c r="V25" s="154" t="s">
        <v>155</v>
      </c>
      <c r="W25" s="152">
        <f t="shared" ca="1" si="14"/>
        <v>3057.17</v>
      </c>
      <c r="X25" s="155">
        <f t="shared" ca="1" si="15"/>
        <v>11280.96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11280.96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DER 561100-E</v>
      </c>
      <c r="AF25" s="160">
        <f t="shared" ca="1" si="20"/>
        <v>11603</v>
      </c>
      <c r="AG25" s="550">
        <f t="shared" ca="1" si="21"/>
        <v>2420.1799999999998</v>
      </c>
      <c r="AH25" s="551">
        <f t="shared" ca="1" si="22"/>
        <v>0.26319999999999999</v>
      </c>
      <c r="AJ25" s="553"/>
      <c r="AL25" s="574"/>
      <c r="AM25" s="431">
        <f t="shared" ca="1" si="0"/>
        <v>11280.96</v>
      </c>
      <c r="AN25" s="617">
        <f t="shared" ca="1" si="23"/>
        <v>3057.17</v>
      </c>
    </row>
    <row r="26" spans="1:40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3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1.2.3.</v>
      </c>
      <c r="P26" s="148" t="s">
        <v>464</v>
      </c>
      <c r="Q26" s="149" t="s">
        <v>465</v>
      </c>
      <c r="R26" s="150" t="str">
        <f t="shared" ca="1" si="24"/>
        <v>CBUQ (QUANTIDADE MENOR QUE 10000 TON)</v>
      </c>
      <c r="S26" s="151" t="str">
        <f t="shared" ca="1" si="13"/>
        <v>TON</v>
      </c>
      <c r="T26" s="152">
        <f ca="1">OFFSET(CÁLCULO!H$15,ROW($T26)-ROW(T$15),0)</f>
        <v>285.86</v>
      </c>
      <c r="U26" s="153">
        <v>149.57</v>
      </c>
      <c r="V26" s="154" t="s">
        <v>155</v>
      </c>
      <c r="W26" s="152">
        <f t="shared" ca="1" si="14"/>
        <v>188.94</v>
      </c>
      <c r="X26" s="155">
        <f t="shared" ca="1" si="15"/>
        <v>54010.39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54010.39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PM - CASCAVEL 570000D</v>
      </c>
      <c r="AF26" s="160">
        <f t="shared" ca="1" si="20"/>
        <v>11594</v>
      </c>
      <c r="AG26" s="550">
        <f t="shared" ca="1" si="21"/>
        <v>149.57</v>
      </c>
      <c r="AH26" s="551">
        <f t="shared" ca="1" si="22"/>
        <v>0.26319999999999999</v>
      </c>
      <c r="AJ26" s="553"/>
      <c r="AL26" s="574"/>
      <c r="AM26" s="431">
        <f t="shared" ca="1" si="0"/>
        <v>54010.39</v>
      </c>
      <c r="AN26" s="617">
        <f t="shared" ca="1" si="23"/>
        <v>188.94</v>
      </c>
    </row>
    <row r="27" spans="1:40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4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>F</v>
      </c>
      <c r="M27" s="145" t="s">
        <v>198</v>
      </c>
      <c r="N27" s="146" t="str">
        <f t="shared" ca="1" si="11"/>
        <v>Serviço</v>
      </c>
      <c r="O27" s="147" t="str">
        <f t="shared" ca="1" si="12"/>
        <v>1.2.4.</v>
      </c>
      <c r="P27" s="148" t="s">
        <v>462</v>
      </c>
      <c r="Q27" s="149" t="s">
        <v>463</v>
      </c>
      <c r="R27" s="150" t="str">
        <f t="shared" ca="1" si="24"/>
        <v>FORNECIMENTO DE CAP PARA CBUQ (MENOR QUE 10000 TON)</v>
      </c>
      <c r="S27" s="151" t="str">
        <f t="shared" ca="1" si="13"/>
        <v>TON</v>
      </c>
      <c r="T27" s="152">
        <f ca="1">OFFSET(CÁLCULO!H$15,ROW($T27)-ROW(T$15),0)</f>
        <v>14.02</v>
      </c>
      <c r="U27" s="153">
        <v>3313.1</v>
      </c>
      <c r="V27" s="154" t="s">
        <v>155</v>
      </c>
      <c r="W27" s="152">
        <f t="shared" ca="1" si="14"/>
        <v>4185.1099999999997</v>
      </c>
      <c r="X27" s="155">
        <f t="shared" ca="1" si="15"/>
        <v>58675.24</v>
      </c>
      <c r="Y27" s="156" t="s">
        <v>244</v>
      </c>
      <c r="Z27" t="str">
        <f t="shared" ca="1" si="16"/>
        <v>RA</v>
      </c>
      <c r="AA27" s="157">
        <f ca="1">IF($C27="S",IF($Z27="CP",$X27,IF($Z27="RA",(($X27)*QCI!$AA$3),0)),SomaAgrup)</f>
        <v>58675.24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str">
        <f t="shared" ca="1" si="19"/>
        <v>DER - MAT 170500</v>
      </c>
      <c r="AF27" s="160">
        <f t="shared" ca="1" si="20"/>
        <v>11595</v>
      </c>
      <c r="AG27" s="550">
        <f t="shared" ca="1" si="21"/>
        <v>3313.1</v>
      </c>
      <c r="AH27" s="551">
        <f t="shared" ca="1" si="22"/>
        <v>0.26319999999999999</v>
      </c>
      <c r="AJ27" s="553"/>
      <c r="AL27" s="574"/>
      <c r="AM27" s="431">
        <f t="shared" ca="1" si="0"/>
        <v>58675.24</v>
      </c>
      <c r="AN27" s="617">
        <f t="shared" ca="1" si="23"/>
        <v>4185.1099999999997</v>
      </c>
    </row>
    <row r="28" spans="1:40" hidden="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4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/>
      </c>
      <c r="M28" s="145" t="s">
        <v>198</v>
      </c>
      <c r="N28" s="146" t="str">
        <f t="shared" ca="1" si="11"/>
        <v>Serviço</v>
      </c>
      <c r="O28" s="147" t="str">
        <f t="shared" ca="1" si="12"/>
        <v>-</v>
      </c>
      <c r="P28" s="148" t="s">
        <v>246</v>
      </c>
      <c r="Q28" s="149"/>
      <c r="R28" s="150" t="str">
        <f t="shared" ca="1" si="24"/>
        <v>(Sem Código)</v>
      </c>
      <c r="S28" s="151" t="str">
        <f t="shared" ca="1" si="13"/>
        <v>-</v>
      </c>
      <c r="T28" s="152">
        <f ca="1">OFFSET(CÁLCULO!H$15,ROW($T28)-ROW(T$15),0)</f>
        <v>0</v>
      </c>
      <c r="U28" s="153"/>
      <c r="V28" s="154" t="s">
        <v>155</v>
      </c>
      <c r="W28" s="152">
        <f t="shared" ca="1" si="14"/>
        <v>0</v>
      </c>
      <c r="X28" s="155">
        <f t="shared" ca="1" si="15"/>
        <v>0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0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b">
        <f t="shared" ca="1" si="19"/>
        <v>0</v>
      </c>
      <c r="AF28" s="160" t="str">
        <f t="shared" ca="1" si="20"/>
        <v>(Sem Código)</v>
      </c>
      <c r="AG28" s="550">
        <f t="shared" ca="1" si="21"/>
        <v>0</v>
      </c>
      <c r="AH28" s="551">
        <f t="shared" ca="1" si="22"/>
        <v>0.26319999999999999</v>
      </c>
      <c r="AJ28" s="553"/>
      <c r="AL28" s="574"/>
      <c r="AM28" s="431">
        <f t="shared" ca="1" si="0"/>
        <v>0</v>
      </c>
      <c r="AN28" s="617">
        <f t="shared" ca="1" si="23"/>
        <v>0</v>
      </c>
    </row>
    <row r="29" spans="1:40" hidden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4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/>
      </c>
      <c r="M29" s="145" t="s">
        <v>198</v>
      </c>
      <c r="N29" s="146" t="str">
        <f t="shared" ca="1" si="11"/>
        <v>Serviço</v>
      </c>
      <c r="O29" s="147" t="str">
        <f t="shared" ca="1" si="12"/>
        <v>-</v>
      </c>
      <c r="P29" s="148" t="s">
        <v>246</v>
      </c>
      <c r="Q29" s="149"/>
      <c r="R29" s="150" t="str">
        <f t="shared" ca="1" si="24"/>
        <v>(Sem Código)</v>
      </c>
      <c r="S29" s="151" t="str">
        <f t="shared" ca="1" si="13"/>
        <v>-</v>
      </c>
      <c r="T29" s="152">
        <f ca="1">OFFSET(CÁLCULO!H$15,ROW($T29)-ROW(T$15),0)</f>
        <v>0</v>
      </c>
      <c r="U29" s="153"/>
      <c r="V29" s="154" t="s">
        <v>155</v>
      </c>
      <c r="W29" s="152">
        <f t="shared" ca="1" si="14"/>
        <v>0</v>
      </c>
      <c r="X29" s="155">
        <f t="shared" ca="1" si="15"/>
        <v>0</v>
      </c>
      <c r="Y29" s="156" t="s">
        <v>244</v>
      </c>
      <c r="Z29" t="str">
        <f t="shared" ca="1" si="16"/>
        <v/>
      </c>
      <c r="AA29" s="157">
        <f ca="1">IF($C29="S",IF($Z29="CP",$X29,IF($Z29="RA",(($X29)*QCI!$AA$3),0)),SomaAgrup)</f>
        <v>0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b">
        <f t="shared" ca="1" si="19"/>
        <v>0</v>
      </c>
      <c r="AF29" s="160" t="str">
        <f t="shared" ca="1" si="20"/>
        <v>(Sem Código)</v>
      </c>
      <c r="AG29" s="550">
        <f t="shared" ca="1" si="21"/>
        <v>0</v>
      </c>
      <c r="AH29" s="551">
        <f t="shared" ca="1" si="22"/>
        <v>0.26319999999999999</v>
      </c>
      <c r="AJ29" s="553"/>
      <c r="AL29" s="574"/>
      <c r="AM29" s="431">
        <f t="shared" ca="1" si="0"/>
        <v>0</v>
      </c>
      <c r="AN29" s="617">
        <f t="shared" ca="1" si="23"/>
        <v>0</v>
      </c>
    </row>
    <row r="30" spans="1:40" x14ac:dyDescent="0.2">
      <c r="A30">
        <f t="shared" si="1"/>
        <v>2</v>
      </c>
      <c r="B30">
        <f t="shared" ca="1" si="2"/>
        <v>2</v>
      </c>
      <c r="C30">
        <f t="shared" ca="1" si="3"/>
        <v>2</v>
      </c>
      <c r="D30">
        <f t="shared" ca="1" si="4"/>
        <v>9</v>
      </c>
      <c r="E30">
        <f ca="1">IF($C30=1,OFFSET(E30,-1,0)+MAX(1,COUNTIF(QCI!$A$13:$A$24,OFFSET(ORÇAMENTO!E30,-1,0))),OFFSET(E30,-1,0))</f>
        <v>1</v>
      </c>
      <c r="F30">
        <f t="shared" ca="1" si="5"/>
        <v>3</v>
      </c>
      <c r="G30">
        <f t="shared" ca="1" si="6"/>
        <v>0</v>
      </c>
      <c r="H30">
        <f t="shared" ca="1" si="7"/>
        <v>0</v>
      </c>
      <c r="I30">
        <f t="shared" ca="1" si="8"/>
        <v>0</v>
      </c>
      <c r="J30">
        <f t="shared" ca="1" si="9"/>
        <v>236</v>
      </c>
      <c r="K30">
        <f ca="1">IF(OR($C30="S",$C30=0),0,MATCH(OFFSET($D30,0,$C30)+IF($C30&lt;&gt;1,1,COUNTIF(QCI!$A$13:$A$24,ORÇAMENTO!E30)),OFFSET($D30,1,$C30,ROW($C$266)-ROW($C30)),0))</f>
        <v>9</v>
      </c>
      <c r="L30" s="144" t="str">
        <f t="shared" ca="1" si="10"/>
        <v>F</v>
      </c>
      <c r="M30" s="145" t="s">
        <v>195</v>
      </c>
      <c r="N30" s="146" t="str">
        <f t="shared" ca="1" si="11"/>
        <v>Nível 2</v>
      </c>
      <c r="O30" s="147" t="str">
        <f t="shared" ca="1" si="12"/>
        <v>1.3.</v>
      </c>
      <c r="P30" s="148" t="s">
        <v>246</v>
      </c>
      <c r="Q30" s="149"/>
      <c r="R30" s="150" t="str">
        <f ca="1">IF($C30="S",REFERENCIA.Descricao,"RECAPEAMENTO ASFÁLTICO")</f>
        <v>RECAPEAMENTO ASFÁLTICO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304428.87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304428.87</v>
      </c>
      <c r="AB30" s="158">
        <f t="shared" ca="1" si="17"/>
        <v>0</v>
      </c>
      <c r="AC30" s="159" t="str">
        <f t="shared" ca="1" si="18"/>
        <v/>
      </c>
      <c r="AD30" s="105">
        <f ca="1">IF(C30&lt;=CRONO.NivelExibicao,MAX($AD$15:OFFSET(AD30,-1,0))+IF($C30&lt;&gt;1,1,MAX(1,COUNTIF(QCI!$A$13:$A$24,OFFSET($E30,-1,0)))),"")</f>
        <v>4</v>
      </c>
      <c r="AE30" s="115" t="b">
        <f t="shared" ca="1" si="19"/>
        <v>0</v>
      </c>
      <c r="AF30" s="160" t="str">
        <f t="shared" ca="1" si="20"/>
        <v>(Sem Código)</v>
      </c>
      <c r="AG30" s="550">
        <f t="shared" ca="1" si="21"/>
        <v>0</v>
      </c>
      <c r="AH30" s="551">
        <f t="shared" ca="1" si="22"/>
        <v>0.26319999999999999</v>
      </c>
      <c r="AJ30" s="553"/>
      <c r="AL30" s="574"/>
      <c r="AM30" s="431">
        <f t="shared" ca="1" si="0"/>
        <v>304428.87</v>
      </c>
      <c r="AN30" s="617">
        <f t="shared" ca="1" si="23"/>
        <v>0</v>
      </c>
    </row>
    <row r="31" spans="1:40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3</v>
      </c>
      <c r="G31">
        <f t="shared" ca="1" si="6"/>
        <v>0</v>
      </c>
      <c r="H31">
        <f t="shared" ca="1" si="7"/>
        <v>0</v>
      </c>
      <c r="I31">
        <f t="shared" ca="1" si="8"/>
        <v>1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>F</v>
      </c>
      <c r="M31" s="145" t="s">
        <v>198</v>
      </c>
      <c r="N31" s="146" t="str">
        <f t="shared" ca="1" si="11"/>
        <v>Serviço</v>
      </c>
      <c r="O31" s="147" t="str">
        <f t="shared" ca="1" si="12"/>
        <v>1.3.1.</v>
      </c>
      <c r="P31" s="148" t="s">
        <v>449</v>
      </c>
      <c r="Q31" s="149" t="s">
        <v>460</v>
      </c>
      <c r="R31" s="150" t="str">
        <f t="shared" ca="1" si="24"/>
        <v>PINTURA DE LIGAÇÃO COM RR-1C - EXCLUSIVE EMULSÃO</v>
      </c>
      <c r="S31" s="151" t="str">
        <f t="shared" ca="1" si="13"/>
        <v>M2</v>
      </c>
      <c r="T31" s="152">
        <f ca="1">OFFSET(CÁLCULO!H$15,ROW($T31)-ROW(T$15),0)</f>
        <v>7369.47</v>
      </c>
      <c r="U31" s="153">
        <v>0.21</v>
      </c>
      <c r="V31" s="154" t="s">
        <v>155</v>
      </c>
      <c r="W31" s="152">
        <f t="shared" ca="1" si="14"/>
        <v>0.27</v>
      </c>
      <c r="X31" s="155">
        <f t="shared" ca="1" si="15"/>
        <v>1989.76</v>
      </c>
      <c r="Y31" s="156" t="s">
        <v>244</v>
      </c>
      <c r="Z31" t="str">
        <f t="shared" ca="1" si="16"/>
        <v>RA</v>
      </c>
      <c r="AA31" s="157">
        <f ca="1">IF($C31="S",IF($Z31="CP",$X31,IF($Z31="RA",(($X31)*QCI!$AA$3),0)),SomaAgrup)</f>
        <v>1989.76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str">
        <f t="shared" ca="1" si="19"/>
        <v>DER 561100-S</v>
      </c>
      <c r="AF31" s="160">
        <f t="shared" ca="1" si="20"/>
        <v>11602</v>
      </c>
      <c r="AG31" s="550">
        <f t="shared" ca="1" si="21"/>
        <v>0.21</v>
      </c>
      <c r="AH31" s="551">
        <f t="shared" ca="1" si="22"/>
        <v>0.26319999999999999</v>
      </c>
      <c r="AJ31" s="553"/>
      <c r="AL31" s="574"/>
      <c r="AM31" s="431">
        <f t="shared" ca="1" si="0"/>
        <v>1989.76</v>
      </c>
      <c r="AN31" s="617">
        <f t="shared" ca="1" si="23"/>
        <v>0.27</v>
      </c>
    </row>
    <row r="32" spans="1:40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3</v>
      </c>
      <c r="G32">
        <f t="shared" ca="1" si="6"/>
        <v>0</v>
      </c>
      <c r="H32">
        <f t="shared" ca="1" si="7"/>
        <v>0</v>
      </c>
      <c r="I32">
        <f t="shared" ca="1" si="8"/>
        <v>2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>F</v>
      </c>
      <c r="M32" s="145" t="s">
        <v>198</v>
      </c>
      <c r="N32" s="146" t="str">
        <f t="shared" ca="1" si="11"/>
        <v>Serviço</v>
      </c>
      <c r="O32" s="147" t="str">
        <f t="shared" ca="1" si="12"/>
        <v>1.3.2.</v>
      </c>
      <c r="P32" s="148" t="s">
        <v>449</v>
      </c>
      <c r="Q32" s="149" t="s">
        <v>461</v>
      </c>
      <c r="R32" s="150" t="str">
        <f ca="1">IF($C32="S",REFERENCIA.Descricao,"(digite a descrição aqui)")</f>
        <v>FORNECIMENTO DE EMULSÃO RR-1C PARA PINTURA DE LIGAÇÃO</v>
      </c>
      <c r="S32" s="151" t="str">
        <f t="shared" ca="1" si="13"/>
        <v>TON</v>
      </c>
      <c r="T32" s="152">
        <f ca="1">OFFSET(CÁLCULO!H$15,ROW($T32)-ROW(T$15),0)</f>
        <v>3.6899999999999995</v>
      </c>
      <c r="U32" s="153">
        <v>2420.1799999999998</v>
      </c>
      <c r="V32" s="154" t="s">
        <v>155</v>
      </c>
      <c r="W32" s="152">
        <f t="shared" ca="1" si="14"/>
        <v>3057.17</v>
      </c>
      <c r="X32" s="155">
        <f t="shared" ca="1" si="15"/>
        <v>11280.96</v>
      </c>
      <c r="Y32" s="156" t="s">
        <v>244</v>
      </c>
      <c r="Z32" t="str">
        <f t="shared" ca="1" si="16"/>
        <v>RA</v>
      </c>
      <c r="AA32" s="157">
        <f ca="1">IF($C32="S",IF($Z32="CP",$X32,IF($Z32="RA",(($X32)*QCI!$AA$3),0)),SomaAgrup)</f>
        <v>11280.96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str">
        <f t="shared" ca="1" si="19"/>
        <v>DER 561100-E</v>
      </c>
      <c r="AF32" s="160">
        <f t="shared" ca="1" si="20"/>
        <v>11603</v>
      </c>
      <c r="AG32" s="550">
        <f t="shared" ca="1" si="21"/>
        <v>2420.1799999999998</v>
      </c>
      <c r="AH32" s="551">
        <f t="shared" ca="1" si="22"/>
        <v>0.26319999999999999</v>
      </c>
      <c r="AJ32" s="553"/>
      <c r="AL32" s="574"/>
      <c r="AM32" s="431">
        <f t="shared" ca="1" si="0"/>
        <v>11280.96</v>
      </c>
      <c r="AN32" s="617">
        <f t="shared" ca="1" si="23"/>
        <v>3057.17</v>
      </c>
    </row>
    <row r="33" spans="1:40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3</v>
      </c>
      <c r="G33">
        <f t="shared" ca="1" si="6"/>
        <v>0</v>
      </c>
      <c r="H33">
        <f t="shared" ca="1" si="7"/>
        <v>0</v>
      </c>
      <c r="I33">
        <f t="shared" ca="1" si="8"/>
        <v>3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>F</v>
      </c>
      <c r="M33" s="145" t="s">
        <v>198</v>
      </c>
      <c r="N33" s="146" t="str">
        <f t="shared" ca="1" si="11"/>
        <v>Serviço</v>
      </c>
      <c r="O33" s="147" t="str">
        <f t="shared" ca="1" si="12"/>
        <v>1.3.3.</v>
      </c>
      <c r="P33" s="148" t="s">
        <v>464</v>
      </c>
      <c r="Q33" s="149" t="s">
        <v>465</v>
      </c>
      <c r="R33" s="150" t="str">
        <f ca="1">IF($C33="S",REFERENCIA.Descricao,"RECAPEAMENTO ASFÁLTICO")</f>
        <v>CBUQ (QUANTIDADE MENOR QUE 10000 TON)</v>
      </c>
      <c r="S33" s="151" t="str">
        <f t="shared" ca="1" si="13"/>
        <v>TON</v>
      </c>
      <c r="T33" s="152">
        <f ca="1">OFFSET(CÁLCULO!H$15,ROW($T33)-ROW(T$15),0)</f>
        <v>738.94</v>
      </c>
      <c r="U33" s="153">
        <v>149.57</v>
      </c>
      <c r="V33" s="154" t="s">
        <v>155</v>
      </c>
      <c r="W33" s="152">
        <f t="shared" ca="1" si="14"/>
        <v>188.94</v>
      </c>
      <c r="X33" s="155">
        <f t="shared" ca="1" si="15"/>
        <v>139615.32</v>
      </c>
      <c r="Y33" s="156" t="s">
        <v>244</v>
      </c>
      <c r="Z33" t="str">
        <f t="shared" ca="1" si="16"/>
        <v>RA</v>
      </c>
      <c r="AA33" s="157">
        <f ca="1">IF($C33="S",IF($Z33="CP",$X33,IF($Z33="RA",(($X33)*QCI!$AA$3),0)),SomaAgrup)</f>
        <v>139615.32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str">
        <f t="shared" ca="1" si="19"/>
        <v>PM - CASCAVEL 570000D</v>
      </c>
      <c r="AF33" s="160">
        <f t="shared" ca="1" si="20"/>
        <v>11594</v>
      </c>
      <c r="AG33" s="550">
        <f t="shared" ca="1" si="21"/>
        <v>149.57</v>
      </c>
      <c r="AH33" s="551">
        <f t="shared" ca="1" si="22"/>
        <v>0.26319999999999999</v>
      </c>
      <c r="AJ33" s="553"/>
      <c r="AL33" s="574"/>
      <c r="AM33" s="431">
        <f t="shared" ca="1" si="0"/>
        <v>139615.32</v>
      </c>
      <c r="AN33" s="617">
        <f t="shared" ca="1" si="23"/>
        <v>188.94</v>
      </c>
    </row>
    <row r="34" spans="1:40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3</v>
      </c>
      <c r="G34">
        <f t="shared" ca="1" si="6"/>
        <v>0</v>
      </c>
      <c r="H34">
        <f t="shared" ca="1" si="7"/>
        <v>0</v>
      </c>
      <c r="I34">
        <f t="shared" ca="1" si="8"/>
        <v>4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>F</v>
      </c>
      <c r="M34" s="145" t="s">
        <v>198</v>
      </c>
      <c r="N34" s="146" t="str">
        <f t="shared" ca="1" si="11"/>
        <v>Serviço</v>
      </c>
      <c r="O34" s="147" t="str">
        <f t="shared" ca="1" si="12"/>
        <v>1.3.4.</v>
      </c>
      <c r="P34" s="148" t="s">
        <v>462</v>
      </c>
      <c r="Q34" s="149" t="s">
        <v>463</v>
      </c>
      <c r="R34" s="150" t="str">
        <f t="shared" ca="1" si="24"/>
        <v>FORNECIMENTO DE CAP PARA CBUQ (MENOR QUE 10000 TON)</v>
      </c>
      <c r="S34" s="151" t="str">
        <f t="shared" ca="1" si="13"/>
        <v>TON</v>
      </c>
      <c r="T34" s="152">
        <f ca="1">OFFSET(CÁLCULO!H$15,ROW($T34)-ROW(T$15),0)</f>
        <v>36.21</v>
      </c>
      <c r="U34" s="153">
        <v>3313.1</v>
      </c>
      <c r="V34" s="154" t="s">
        <v>155</v>
      </c>
      <c r="W34" s="152">
        <f t="shared" ca="1" si="14"/>
        <v>4185.1099999999997</v>
      </c>
      <c r="X34" s="155">
        <f t="shared" ca="1" si="15"/>
        <v>151542.82999999999</v>
      </c>
      <c r="Y34" s="156" t="s">
        <v>244</v>
      </c>
      <c r="Z34" t="str">
        <f t="shared" ca="1" si="16"/>
        <v>RA</v>
      </c>
      <c r="AA34" s="157">
        <f ca="1">IF($C34="S",IF($Z34="CP",$X34,IF($Z34="RA",(($X34)*QCI!$AA$3),0)),SomaAgrup)</f>
        <v>151542.82999999999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str">
        <f t="shared" ca="1" si="19"/>
        <v>DER - MAT 170500</v>
      </c>
      <c r="AF34" s="160">
        <f t="shared" ca="1" si="20"/>
        <v>11595</v>
      </c>
      <c r="AG34" s="550">
        <f t="shared" ca="1" si="21"/>
        <v>3313.1</v>
      </c>
      <c r="AH34" s="551">
        <f t="shared" ca="1" si="22"/>
        <v>0.26319999999999999</v>
      </c>
      <c r="AJ34" s="553"/>
      <c r="AL34" s="574"/>
      <c r="AM34" s="431">
        <f t="shared" ca="1" si="0"/>
        <v>151542.82999999999</v>
      </c>
      <c r="AN34" s="617">
        <f t="shared" ca="1" si="23"/>
        <v>4185.1099999999997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3</v>
      </c>
      <c r="G35">
        <f t="shared" ca="1" si="6"/>
        <v>0</v>
      </c>
      <c r="H35">
        <f t="shared" ca="1" si="7"/>
        <v>0</v>
      </c>
      <c r="I35">
        <f t="shared" ca="1" si="8"/>
        <v>4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(Sem Código)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(Sem Código)</v>
      </c>
      <c r="AG35" s="550">
        <f t="shared" ca="1" si="21"/>
        <v>0</v>
      </c>
      <c r="AH35" s="551">
        <f t="shared" ca="1" si="22"/>
        <v>0.26319999999999999</v>
      </c>
      <c r="AJ35" s="553"/>
      <c r="AL35" s="574"/>
      <c r="AM35" s="431">
        <f t="shared" ca="1" si="0"/>
        <v>0</v>
      </c>
      <c r="AN35" s="617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3</v>
      </c>
      <c r="G36">
        <f t="shared" ca="1" si="6"/>
        <v>0</v>
      </c>
      <c r="H36">
        <f t="shared" ca="1" si="7"/>
        <v>0</v>
      </c>
      <c r="I36">
        <f t="shared" ca="1" si="8"/>
        <v>4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/>
      </c>
      <c r="M36" s="145" t="s">
        <v>198</v>
      </c>
      <c r="N36" s="146" t="str">
        <f t="shared" ca="1" si="11"/>
        <v>Serviço</v>
      </c>
      <c r="O36" s="147" t="str">
        <f t="shared" ca="1" si="12"/>
        <v>-</v>
      </c>
      <c r="P36" s="148" t="s">
        <v>246</v>
      </c>
      <c r="Q36" s="149"/>
      <c r="R36" s="150" t="str">
        <f t="shared" ca="1" si="24"/>
        <v>(Sem Código)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0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0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b">
        <f t="shared" ca="1" si="19"/>
        <v>0</v>
      </c>
      <c r="AF36" s="160" t="str">
        <f t="shared" ca="1" si="20"/>
        <v>(Sem Código)</v>
      </c>
      <c r="AG36" s="550">
        <f t="shared" ca="1" si="21"/>
        <v>0</v>
      </c>
      <c r="AH36" s="551">
        <f t="shared" ca="1" si="22"/>
        <v>0.26319999999999999</v>
      </c>
      <c r="AJ36" s="553"/>
      <c r="AL36" s="574"/>
      <c r="AM36" s="431">
        <f t="shared" ca="1" si="0"/>
        <v>0</v>
      </c>
      <c r="AN36" s="617">
        <f t="shared" ca="1" si="23"/>
        <v>0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3</v>
      </c>
      <c r="G37">
        <f t="shared" ca="1" si="6"/>
        <v>0</v>
      </c>
      <c r="H37">
        <f t="shared" ca="1" si="7"/>
        <v>0</v>
      </c>
      <c r="I37">
        <f t="shared" ca="1" si="8"/>
        <v>4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/>
      </c>
      <c r="M37" s="145" t="s">
        <v>198</v>
      </c>
      <c r="N37" s="146" t="str">
        <f t="shared" ca="1" si="11"/>
        <v>Serviço</v>
      </c>
      <c r="O37" s="147" t="str">
        <f t="shared" ca="1" si="12"/>
        <v>-</v>
      </c>
      <c r="P37" s="148" t="s">
        <v>246</v>
      </c>
      <c r="Q37" s="149"/>
      <c r="R37" s="150" t="str">
        <f t="shared" ca="1" si="24"/>
        <v>(Sem Código)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0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0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b">
        <f t="shared" ca="1" si="19"/>
        <v>0</v>
      </c>
      <c r="AF37" s="160" t="str">
        <f t="shared" ca="1" si="20"/>
        <v>(Sem Código)</v>
      </c>
      <c r="AG37" s="550">
        <f t="shared" ca="1" si="21"/>
        <v>0</v>
      </c>
      <c r="AH37" s="551">
        <f t="shared" ca="1" si="22"/>
        <v>0.26319999999999999</v>
      </c>
      <c r="AJ37" s="553"/>
      <c r="AL37" s="574"/>
      <c r="AM37" s="431">
        <f t="shared" ca="1" si="0"/>
        <v>0</v>
      </c>
      <c r="AN37" s="617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3</v>
      </c>
      <c r="G38">
        <f t="shared" ca="1" si="6"/>
        <v>0</v>
      </c>
      <c r="H38">
        <f t="shared" ca="1" si="7"/>
        <v>0</v>
      </c>
      <c r="I38">
        <f t="shared" ca="1" si="8"/>
        <v>4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/>
      </c>
      <c r="M38" s="145" t="s">
        <v>198</v>
      </c>
      <c r="N38" s="146" t="str">
        <f t="shared" ca="1" si="11"/>
        <v>Serviço</v>
      </c>
      <c r="O38" s="147" t="str">
        <f t="shared" ca="1" si="12"/>
        <v>-</v>
      </c>
      <c r="P38" s="148" t="s">
        <v>246</v>
      </c>
      <c r="Q38" s="149"/>
      <c r="R38" s="150" t="str">
        <f t="shared" ca="1" si="24"/>
        <v>(Sem Código)</v>
      </c>
      <c r="S38" s="151" t="str">
        <f t="shared" ca="1" si="13"/>
        <v>-</v>
      </c>
      <c r="T38" s="152">
        <f ca="1">OFFSET(CÁLCULO!H$15,ROW($T38)-ROW(T$15),0)</f>
        <v>0</v>
      </c>
      <c r="U38" s="153"/>
      <c r="V38" s="154" t="s">
        <v>155</v>
      </c>
      <c r="W38" s="152">
        <f t="shared" ca="1" si="14"/>
        <v>0</v>
      </c>
      <c r="X38" s="155">
        <f t="shared" ca="1" si="15"/>
        <v>0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0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b">
        <f t="shared" ca="1" si="19"/>
        <v>0</v>
      </c>
      <c r="AF38" s="160" t="str">
        <f t="shared" ca="1" si="20"/>
        <v>(Sem Código)</v>
      </c>
      <c r="AG38" s="550">
        <f t="shared" ca="1" si="21"/>
        <v>0</v>
      </c>
      <c r="AH38" s="551">
        <f t="shared" ca="1" si="22"/>
        <v>0.26319999999999999</v>
      </c>
      <c r="AJ38" s="553"/>
      <c r="AL38" s="574"/>
      <c r="AM38" s="431">
        <f t="shared" ca="1" si="0"/>
        <v>0</v>
      </c>
      <c r="AN38" s="617">
        <f t="shared" ca="1" si="23"/>
        <v>0</v>
      </c>
    </row>
    <row r="39" spans="1:40" x14ac:dyDescent="0.2">
      <c r="A39">
        <f t="shared" si="1"/>
        <v>2</v>
      </c>
      <c r="B39">
        <f t="shared" ca="1" si="2"/>
        <v>2</v>
      </c>
      <c r="C39">
        <f t="shared" ca="1" si="3"/>
        <v>2</v>
      </c>
      <c r="D39">
        <f t="shared" ca="1" si="4"/>
        <v>12</v>
      </c>
      <c r="E39">
        <f ca="1">IF($C39=1,OFFSET(E39,-1,0)+MAX(1,COUNTIF(QCI!$A$13:$A$24,OFFSET(ORÇAMENTO!E39,-1,0))),OFFSET(E39,-1,0))</f>
        <v>1</v>
      </c>
      <c r="F39">
        <f t="shared" ca="1" si="5"/>
        <v>4</v>
      </c>
      <c r="G39">
        <f t="shared" ca="1" si="6"/>
        <v>0</v>
      </c>
      <c r="H39">
        <f t="shared" ca="1" si="7"/>
        <v>0</v>
      </c>
      <c r="I39">
        <f t="shared" ca="1" si="8"/>
        <v>0</v>
      </c>
      <c r="J39">
        <f t="shared" ca="1" si="9"/>
        <v>227</v>
      </c>
      <c r="K39">
        <f ca="1">IF(OR($C39="S",$C39=0),0,MATCH(OFFSET($D39,0,$C39)+IF($C39&lt;&gt;1,1,COUNTIF(QCI!$A$13:$A$24,ORÇAMENTO!E39)),OFFSET($D39,1,$C39,ROW($C$266)-ROW($C39)),0))</f>
        <v>12</v>
      </c>
      <c r="L39" s="144" t="str">
        <f t="shared" ca="1" si="10"/>
        <v>F</v>
      </c>
      <c r="M39" s="145" t="s">
        <v>195</v>
      </c>
      <c r="N39" s="146" t="str">
        <f t="shared" ca="1" si="11"/>
        <v>Nível 2</v>
      </c>
      <c r="O39" s="147" t="str">
        <f t="shared" ca="1" si="12"/>
        <v>1.4.</v>
      </c>
      <c r="P39" s="148" t="s">
        <v>246</v>
      </c>
      <c r="Q39" s="149"/>
      <c r="R39" s="150" t="str">
        <f ca="1">IF($C39="S",REFERENCIA.Descricao,"SINALIZAÇÃO VIÁRIA")</f>
        <v>SINALIZAÇÃO VIÁRIA</v>
      </c>
      <c r="S39" s="151" t="str">
        <f t="shared" ca="1" si="13"/>
        <v>-</v>
      </c>
      <c r="T39" s="152">
        <f ca="1">OFFSET(CÁLCULO!H$15,ROW($T39)-ROW(T$15),0)</f>
        <v>0</v>
      </c>
      <c r="U39" s="153"/>
      <c r="V39" s="154" t="s">
        <v>155</v>
      </c>
      <c r="W39" s="152">
        <f t="shared" ca="1" si="14"/>
        <v>0</v>
      </c>
      <c r="X39" s="155">
        <f t="shared" ca="1" si="15"/>
        <v>14985.91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14985.91</v>
      </c>
      <c r="AB39" s="158">
        <f t="shared" ca="1" si="17"/>
        <v>0</v>
      </c>
      <c r="AC39" s="159" t="str">
        <f t="shared" ca="1" si="18"/>
        <v/>
      </c>
      <c r="AD39" s="105">
        <f ca="1">IF(C39&lt;=CRONO.NivelExibicao,MAX($AD$15:OFFSET(AD39,-1,0))+IF($C39&lt;&gt;1,1,MAX(1,COUNTIF(QCI!$A$13:$A$24,OFFSET($E39,-1,0)))),"")</f>
        <v>5</v>
      </c>
      <c r="AE39" s="115" t="b">
        <f t="shared" ca="1" si="19"/>
        <v>0</v>
      </c>
      <c r="AF39" s="160" t="str">
        <f t="shared" ca="1" si="20"/>
        <v>(Sem Código)</v>
      </c>
      <c r="AG39" s="550">
        <f t="shared" ca="1" si="21"/>
        <v>0</v>
      </c>
      <c r="AH39" s="551">
        <f t="shared" ca="1" si="22"/>
        <v>0.26319999999999999</v>
      </c>
      <c r="AJ39" s="553"/>
      <c r="AL39" s="574"/>
      <c r="AM39" s="431">
        <f t="shared" ca="1" si="0"/>
        <v>14985.91</v>
      </c>
      <c r="AN39" s="617">
        <f t="shared" ca="1" si="23"/>
        <v>0</v>
      </c>
    </row>
    <row r="40" spans="1:40" ht="25.5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4</v>
      </c>
      <c r="G40">
        <f t="shared" ca="1" si="6"/>
        <v>0</v>
      </c>
      <c r="H40">
        <f t="shared" ca="1" si="7"/>
        <v>0</v>
      </c>
      <c r="I40">
        <f t="shared" ca="1" si="8"/>
        <v>1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>F</v>
      </c>
      <c r="M40" s="145" t="s">
        <v>198</v>
      </c>
      <c r="N40" s="146" t="str">
        <f t="shared" ca="1" si="11"/>
        <v>Serviço</v>
      </c>
      <c r="O40" s="147" t="str">
        <f t="shared" ca="1" si="12"/>
        <v>1.4.1.</v>
      </c>
      <c r="P40" s="148" t="s">
        <v>449</v>
      </c>
      <c r="Q40" s="149" t="s">
        <v>468</v>
      </c>
      <c r="R40" s="150" t="str">
        <f t="shared" ca="1" si="24"/>
        <v>FAIXA DE SINALIZAÇÃO HORIZONTAL COM TINTA RESINA ACRÍLICA BASE DE SOLVENTE - COR BRANCA</v>
      </c>
      <c r="S40" s="151" t="str">
        <f t="shared" ca="1" si="13"/>
        <v>M2</v>
      </c>
      <c r="T40" s="152">
        <f ca="1">OFFSET(CÁLCULO!H$15,ROW($T40)-ROW(T$15),0)</f>
        <v>234.29999999999998</v>
      </c>
      <c r="U40" s="153">
        <v>23.72</v>
      </c>
      <c r="V40" s="154" t="s">
        <v>155</v>
      </c>
      <c r="W40" s="152">
        <f t="shared" ca="1" si="14"/>
        <v>29.96</v>
      </c>
      <c r="X40" s="155">
        <f t="shared" ca="1" si="15"/>
        <v>7019.63</v>
      </c>
      <c r="Y40" s="156" t="s">
        <v>244</v>
      </c>
      <c r="Z40" t="str">
        <f t="shared" ca="1" si="16"/>
        <v>RA</v>
      </c>
      <c r="AA40" s="157">
        <f ca="1">IF($C40="S",IF($Z40="CP",$X40,IF($Z40="RA",(($X40)*QCI!$AA$3),0)),SomaAgrup)</f>
        <v>7019.63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str">
        <f t="shared" ca="1" si="19"/>
        <v>DER 822000B</v>
      </c>
      <c r="AF40" s="160">
        <f t="shared" ca="1" si="20"/>
        <v>11598</v>
      </c>
      <c r="AG40" s="550">
        <f t="shared" ca="1" si="21"/>
        <v>23.72</v>
      </c>
      <c r="AH40" s="551">
        <f t="shared" ca="1" si="22"/>
        <v>0.26319999999999999</v>
      </c>
      <c r="AJ40" s="553"/>
      <c r="AL40" s="574"/>
      <c r="AM40" s="431">
        <f t="shared" ca="1" si="0"/>
        <v>7019.63</v>
      </c>
      <c r="AN40" s="617">
        <f t="shared" ca="1" si="23"/>
        <v>29.96</v>
      </c>
    </row>
    <row r="41" spans="1:40" ht="25.5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4</v>
      </c>
      <c r="G41">
        <f t="shared" ca="1" si="6"/>
        <v>0</v>
      </c>
      <c r="H41">
        <f t="shared" ca="1" si="7"/>
        <v>0</v>
      </c>
      <c r="I41">
        <f t="shared" ca="1" si="8"/>
        <v>2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>F</v>
      </c>
      <c r="M41" s="145" t="s">
        <v>198</v>
      </c>
      <c r="N41" s="146" t="str">
        <f t="shared" ca="1" si="11"/>
        <v>Serviço</v>
      </c>
      <c r="O41" s="147" t="str">
        <f t="shared" ca="1" si="12"/>
        <v>1.4.2.</v>
      </c>
      <c r="P41" s="148" t="s">
        <v>449</v>
      </c>
      <c r="Q41" s="149" t="s">
        <v>469</v>
      </c>
      <c r="R41" s="150" t="str">
        <f t="shared" ca="1" si="24"/>
        <v>FAIXA DE SINALIZAÇÃO HORIZONTAL COM TINTA RESINA ACRÍLICA BASE DE SOLVENTE - COR AMARELA</v>
      </c>
      <c r="S41" s="151" t="str">
        <f t="shared" ca="1" si="13"/>
        <v>M2</v>
      </c>
      <c r="T41" s="152">
        <f ca="1">OFFSET(CÁLCULO!H$15,ROW($T41)-ROW(T$15),0)</f>
        <v>20.2</v>
      </c>
      <c r="U41" s="153">
        <v>23.72</v>
      </c>
      <c r="V41" s="154" t="s">
        <v>155</v>
      </c>
      <c r="W41" s="152">
        <f t="shared" ca="1" si="14"/>
        <v>29.96</v>
      </c>
      <c r="X41" s="155">
        <f t="shared" ca="1" si="15"/>
        <v>605.19000000000005</v>
      </c>
      <c r="Y41" s="156" t="s">
        <v>244</v>
      </c>
      <c r="Z41" t="str">
        <f t="shared" ca="1" si="16"/>
        <v>RA</v>
      </c>
      <c r="AA41" s="157">
        <f ca="1">IF($C41="S",IF($Z41="CP",$X41,IF($Z41="RA",(($X41)*QCI!$AA$3),0)),SomaAgrup)</f>
        <v>605.19000000000005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str">
        <f t="shared" ca="1" si="19"/>
        <v>DER 822000A</v>
      </c>
      <c r="AF41" s="160">
        <f t="shared" ca="1" si="20"/>
        <v>11599</v>
      </c>
      <c r="AG41" s="550">
        <f t="shared" ca="1" si="21"/>
        <v>23.72</v>
      </c>
      <c r="AH41" s="551">
        <f t="shared" ca="1" si="22"/>
        <v>0.26319999999999999</v>
      </c>
      <c r="AJ41" s="553"/>
      <c r="AL41" s="574"/>
      <c r="AM41" s="431">
        <f t="shared" ca="1" si="0"/>
        <v>605.19000000000005</v>
      </c>
      <c r="AN41" s="617">
        <f t="shared" ca="1" si="23"/>
        <v>29.96</v>
      </c>
    </row>
    <row r="42" spans="1:40" ht="25.5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4</v>
      </c>
      <c r="G42">
        <f t="shared" ca="1" si="6"/>
        <v>0</v>
      </c>
      <c r="H42">
        <f t="shared" ca="1" si="7"/>
        <v>0</v>
      </c>
      <c r="I42">
        <f t="shared" ca="1" si="8"/>
        <v>3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>F</v>
      </c>
      <c r="M42" s="145" t="s">
        <v>198</v>
      </c>
      <c r="N42" s="146" t="str">
        <f t="shared" ca="1" si="11"/>
        <v>Serviço</v>
      </c>
      <c r="O42" s="147" t="str">
        <f t="shared" ca="1" si="12"/>
        <v>1.4.3.</v>
      </c>
      <c r="P42" s="148" t="s">
        <v>449</v>
      </c>
      <c r="Q42" s="149" t="s">
        <v>466</v>
      </c>
      <c r="R42" s="150" t="str">
        <f t="shared" ca="1" si="24"/>
        <v>PLACA DE SINALIZAÇÃO REFLETIVA - TRIÂNGULO (0,1219 M2/UN) + SUPORTE METÁLICO</v>
      </c>
      <c r="S42" s="151" t="str">
        <f t="shared" ca="1" si="13"/>
        <v xml:space="preserve">UN </v>
      </c>
      <c r="T42" s="152">
        <f ca="1">OFFSET(CÁLCULO!H$15,ROW($T42)-ROW(T$15),0)</f>
        <v>11</v>
      </c>
      <c r="U42" s="153">
        <v>246.24</v>
      </c>
      <c r="V42" s="154" t="s">
        <v>155</v>
      </c>
      <c r="W42" s="152">
        <f t="shared" ca="1" si="14"/>
        <v>311.05</v>
      </c>
      <c r="X42" s="155">
        <f t="shared" ca="1" si="15"/>
        <v>3421.55</v>
      </c>
      <c r="Y42" s="156" t="s">
        <v>244</v>
      </c>
      <c r="Z42" t="str">
        <f t="shared" ca="1" si="16"/>
        <v>RA</v>
      </c>
      <c r="AA42" s="157">
        <f ca="1">IF($C42="S",IF($Z42="CP",$X42,IF($Z42="RA",(($X42)*QCI!$AA$3),0)),SomaAgrup)</f>
        <v>3421.55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str">
        <f t="shared" ca="1" si="19"/>
        <v>DER 820000F</v>
      </c>
      <c r="AF42" s="160">
        <f t="shared" ca="1" si="20"/>
        <v>11600</v>
      </c>
      <c r="AG42" s="550">
        <f t="shared" ca="1" si="21"/>
        <v>246.24</v>
      </c>
      <c r="AH42" s="551">
        <f t="shared" ca="1" si="22"/>
        <v>0.26319999999999999</v>
      </c>
      <c r="AJ42" s="553"/>
      <c r="AL42" s="574"/>
      <c r="AM42" s="431">
        <f t="shared" ca="1" si="0"/>
        <v>3421.55</v>
      </c>
      <c r="AN42" s="617">
        <f t="shared" ca="1" si="23"/>
        <v>311.05</v>
      </c>
    </row>
    <row r="43" spans="1:40" ht="25.5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4</v>
      </c>
      <c r="G43">
        <f t="shared" ca="1" si="6"/>
        <v>0</v>
      </c>
      <c r="H43">
        <f t="shared" ca="1" si="7"/>
        <v>0</v>
      </c>
      <c r="I43">
        <f t="shared" ca="1" si="8"/>
        <v>4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>F</v>
      </c>
      <c r="M43" s="145" t="s">
        <v>198</v>
      </c>
      <c r="N43" s="146" t="str">
        <f t="shared" ca="1" si="11"/>
        <v>Serviço</v>
      </c>
      <c r="O43" s="147" t="str">
        <f t="shared" ca="1" si="12"/>
        <v>1.4.4.</v>
      </c>
      <c r="P43" s="148" t="s">
        <v>449</v>
      </c>
      <c r="Q43" s="149" t="s">
        <v>467</v>
      </c>
      <c r="R43" s="150" t="str">
        <f ca="1">IF($C43="S",REFERENCIA.Descricao,"(digite a descrição aqui)")</f>
        <v>PLACA DE SINALIZAÇÃO REFLETIVA - RETANGULAR DUPLA (DUAS DE 0,20 x 0,60) EM L (0,24 M2/UN) + SUPORTE METÁLICO</v>
      </c>
      <c r="S43" s="151" t="str">
        <f t="shared" ca="1" si="13"/>
        <v xml:space="preserve">UN </v>
      </c>
      <c r="T43" s="152">
        <f ca="1">OFFSET(CÁLCULO!H$15,ROW($T43)-ROW(T$15),0)</f>
        <v>11</v>
      </c>
      <c r="U43" s="153">
        <v>283.52</v>
      </c>
      <c r="V43" s="154" t="s">
        <v>155</v>
      </c>
      <c r="W43" s="152">
        <f t="shared" ca="1" si="14"/>
        <v>358.14</v>
      </c>
      <c r="X43" s="155">
        <f t="shared" ca="1" si="15"/>
        <v>3939.54</v>
      </c>
      <c r="Y43" s="156" t="s">
        <v>244</v>
      </c>
      <c r="Z43" t="str">
        <f t="shared" ca="1" si="16"/>
        <v>RA</v>
      </c>
      <c r="AA43" s="157">
        <f ca="1">IF($C43="S",IF($Z43="CP",$X43,IF($Z43="RA",(($X43)*QCI!$AA$3),0)),SomaAgrup)</f>
        <v>3939.54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str">
        <f t="shared" ca="1" si="19"/>
        <v>DER 820000H</v>
      </c>
      <c r="AF43" s="160">
        <f t="shared" ca="1" si="20"/>
        <v>11601</v>
      </c>
      <c r="AG43" s="550">
        <f t="shared" ca="1" si="21"/>
        <v>283.52</v>
      </c>
      <c r="AH43" s="551">
        <f t="shared" ca="1" si="22"/>
        <v>0.26319999999999999</v>
      </c>
      <c r="AJ43" s="553"/>
      <c r="AL43" s="574"/>
      <c r="AM43" s="431">
        <f t="shared" ca="1" si="0"/>
        <v>3939.54</v>
      </c>
      <c r="AN43" s="617">
        <f t="shared" ca="1" si="23"/>
        <v>358.14</v>
      </c>
    </row>
    <row r="44" spans="1:40" ht="25.5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4</v>
      </c>
      <c r="G44">
        <f t="shared" ca="1" si="6"/>
        <v>0</v>
      </c>
      <c r="H44">
        <f t="shared" ca="1" si="7"/>
        <v>0</v>
      </c>
      <c r="I44">
        <f t="shared" ca="1" si="8"/>
        <v>4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449</v>
      </c>
      <c r="Q44" s="149" t="s">
        <v>478</v>
      </c>
      <c r="R44" s="150" t="str">
        <f t="shared" ca="1" si="24"/>
        <v>PLACA DE SINALIZAÇÃO REFLETIVA - LOSANGO (0,2025 M2/UD) + SUPORTE METÁLICO</v>
      </c>
      <c r="S44" s="151" t="str">
        <f t="shared" ca="1" si="13"/>
        <v>UN.</v>
      </c>
      <c r="T44" s="152">
        <f ca="1">OFFSET(CÁLCULO!H$15,ROW($T44)-ROW(T$15),0)</f>
        <v>0</v>
      </c>
      <c r="U44" s="153">
        <v>310</v>
      </c>
      <c r="V44" s="154" t="s">
        <v>155</v>
      </c>
      <c r="W44" s="152">
        <f t="shared" ca="1" si="14"/>
        <v>391.59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str">
        <f t="shared" ca="1" si="19"/>
        <v>DER 820000H1</v>
      </c>
      <c r="AF44" s="160">
        <f t="shared" ca="1" si="20"/>
        <v>11608</v>
      </c>
      <c r="AG44" s="550">
        <f t="shared" ca="1" si="21"/>
        <v>332.78</v>
      </c>
      <c r="AH44" s="551">
        <f t="shared" ca="1" si="22"/>
        <v>0.26319999999999999</v>
      </c>
      <c r="AJ44" s="553"/>
      <c r="AL44" s="574"/>
      <c r="AM44" s="431">
        <f t="shared" ca="1" si="0"/>
        <v>0</v>
      </c>
      <c r="AN44" s="617">
        <f t="shared" ca="1" si="23"/>
        <v>391.59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4</v>
      </c>
      <c r="G45">
        <f t="shared" ca="1" si="6"/>
        <v>0</v>
      </c>
      <c r="H45">
        <f t="shared" ca="1" si="7"/>
        <v>0</v>
      </c>
      <c r="I45">
        <f t="shared" ca="1" si="8"/>
        <v>4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/>
      </c>
      <c r="M45" s="145" t="s">
        <v>198</v>
      </c>
      <c r="N45" s="146" t="str">
        <f t="shared" ca="1" si="11"/>
        <v>Serviço</v>
      </c>
      <c r="O45" s="147" t="str">
        <f t="shared" ca="1" si="12"/>
        <v>-</v>
      </c>
      <c r="P45" s="148" t="s">
        <v>246</v>
      </c>
      <c r="Q45" s="149"/>
      <c r="R45" s="150" t="str">
        <f t="shared" ca="1" si="24"/>
        <v>(Sem Código)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0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0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b">
        <f t="shared" ca="1" si="19"/>
        <v>0</v>
      </c>
      <c r="AF45" s="160" t="str">
        <f t="shared" ca="1" si="20"/>
        <v>(Sem Código)</v>
      </c>
      <c r="AG45" s="550">
        <f t="shared" ca="1" si="21"/>
        <v>0</v>
      </c>
      <c r="AH45" s="551">
        <f t="shared" ca="1" si="22"/>
        <v>0.26319999999999999</v>
      </c>
      <c r="AJ45" s="553"/>
      <c r="AL45" s="574"/>
      <c r="AM45" s="431">
        <f t="shared" ca="1" si="0"/>
        <v>0</v>
      </c>
      <c r="AN45" s="617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4</v>
      </c>
      <c r="G46">
        <f t="shared" ca="1" si="6"/>
        <v>0</v>
      </c>
      <c r="H46">
        <f t="shared" ca="1" si="7"/>
        <v>0</v>
      </c>
      <c r="I46">
        <f t="shared" ca="1" si="8"/>
        <v>4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(Sem Código)</v>
      </c>
      <c r="S46" s="151" t="str">
        <f t="shared" ca="1" si="13"/>
        <v>-</v>
      </c>
      <c r="T46" s="152">
        <f ca="1">OFFSET(CÁLCULO!H$15,ROW($T46)-ROW(T$15),0)</f>
        <v>0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(Sem Código)</v>
      </c>
      <c r="AG46" s="550">
        <f t="shared" ca="1" si="21"/>
        <v>0</v>
      </c>
      <c r="AH46" s="551">
        <f t="shared" ca="1" si="22"/>
        <v>0.26319999999999999</v>
      </c>
      <c r="AJ46" s="553"/>
      <c r="AL46" s="574"/>
      <c r="AM46" s="431">
        <f t="shared" ca="1" si="0"/>
        <v>0</v>
      </c>
      <c r="AN46" s="617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4</v>
      </c>
      <c r="G47">
        <f t="shared" ca="1" si="6"/>
        <v>0</v>
      </c>
      <c r="H47">
        <f t="shared" ca="1" si="7"/>
        <v>0</v>
      </c>
      <c r="I47">
        <f t="shared" ca="1" si="8"/>
        <v>4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(Sem Código)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0.26319999999999999</v>
      </c>
      <c r="AJ47" s="553"/>
      <c r="AL47" s="574"/>
      <c r="AM47" s="431">
        <f t="shared" ca="1" si="0"/>
        <v>0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4</v>
      </c>
      <c r="G48">
        <f t="shared" ca="1" si="6"/>
        <v>0</v>
      </c>
      <c r="H48">
        <f t="shared" ca="1" si="7"/>
        <v>0</v>
      </c>
      <c r="I48">
        <f t="shared" ca="1" si="8"/>
        <v>4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 t="str">
        <f t="shared" ca="1" si="24"/>
        <v>(Sem Código)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0.26319999999999999</v>
      </c>
      <c r="AJ48" s="553"/>
      <c r="AL48" s="574"/>
      <c r="AM48" s="431">
        <f t="shared" ca="1" si="0"/>
        <v>0</v>
      </c>
      <c r="AN48" s="617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4</v>
      </c>
      <c r="G49">
        <f t="shared" ca="1" si="6"/>
        <v>0</v>
      </c>
      <c r="H49">
        <f t="shared" ca="1" si="7"/>
        <v>0</v>
      </c>
      <c r="I49">
        <f t="shared" ca="1" si="8"/>
        <v>4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/>
      </c>
      <c r="M49" s="145" t="s">
        <v>198</v>
      </c>
      <c r="N49" s="146" t="str">
        <f t="shared" ca="1" si="11"/>
        <v>Serviço</v>
      </c>
      <c r="O49" s="147" t="str">
        <f t="shared" ca="1" si="12"/>
        <v>-</v>
      </c>
      <c r="P49" s="148" t="s">
        <v>246</v>
      </c>
      <c r="Q49" s="149"/>
      <c r="R49" s="150" t="str">
        <f t="shared" ca="1" si="24"/>
        <v>(Sem Código)</v>
      </c>
      <c r="S49" s="151" t="str">
        <f t="shared" ca="1" si="13"/>
        <v>-</v>
      </c>
      <c r="T49" s="152">
        <f ca="1">OFFSET(CÁLCULO!H$15,ROW($T49)-ROW(T$15),0)</f>
        <v>0</v>
      </c>
      <c r="U49" s="153"/>
      <c r="V49" s="154" t="s">
        <v>155</v>
      </c>
      <c r="W49" s="152">
        <f t="shared" ca="1" si="14"/>
        <v>0</v>
      </c>
      <c r="X49" s="155">
        <f t="shared" ca="1" si="15"/>
        <v>0</v>
      </c>
      <c r="Y49" s="156" t="s">
        <v>244</v>
      </c>
      <c r="Z49" t="str">
        <f t="shared" ca="1" si="16"/>
        <v/>
      </c>
      <c r="AA49" s="157">
        <f ca="1">IF($C49="S",IF($Z49="CP",$X49,IF($Z49="RA",(($X49)*QCI!$AA$3),0)),SomaAgrup)</f>
        <v>0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b">
        <f t="shared" ca="1" si="19"/>
        <v>0</v>
      </c>
      <c r="AF49" s="160" t="str">
        <f t="shared" ca="1" si="20"/>
        <v>(Sem Código)</v>
      </c>
      <c r="AG49" s="550">
        <f t="shared" ca="1" si="21"/>
        <v>0</v>
      </c>
      <c r="AH49" s="551">
        <f t="shared" ca="1" si="22"/>
        <v>0.26319999999999999</v>
      </c>
      <c r="AJ49" s="553"/>
      <c r="AL49" s="574"/>
      <c r="AM49" s="431">
        <f t="shared" ca="1" si="0"/>
        <v>0</v>
      </c>
      <c r="AN49" s="617">
        <f t="shared" ca="1" si="23"/>
        <v>0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4</v>
      </c>
      <c r="G50">
        <f t="shared" ca="1" si="6"/>
        <v>0</v>
      </c>
      <c r="H50">
        <f t="shared" ca="1" si="7"/>
        <v>0</v>
      </c>
      <c r="I50">
        <f t="shared" ca="1" si="8"/>
        <v>4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/>
      </c>
      <c r="M50" s="145" t="s">
        <v>198</v>
      </c>
      <c r="N50" s="146" t="str">
        <f t="shared" ca="1" si="11"/>
        <v>Serviço</v>
      </c>
      <c r="O50" s="147" t="str">
        <f t="shared" ca="1" si="12"/>
        <v>-</v>
      </c>
      <c r="P50" s="148" t="s">
        <v>246</v>
      </c>
      <c r="Q50" s="149"/>
      <c r="R50" s="150" t="str">
        <f t="shared" ca="1" si="24"/>
        <v>(Sem Código)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0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0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0.26319999999999999</v>
      </c>
      <c r="AJ50" s="553"/>
      <c r="AL50" s="574"/>
      <c r="AM50" s="431">
        <f t="shared" ca="1" si="0"/>
        <v>0</v>
      </c>
      <c r="AN50" s="617">
        <f t="shared" ca="1" si="23"/>
        <v>0</v>
      </c>
    </row>
    <row r="51" spans="1:40" x14ac:dyDescent="0.2">
      <c r="A51">
        <f t="shared" si="1"/>
        <v>2</v>
      </c>
      <c r="B51">
        <f t="shared" ca="1" si="2"/>
        <v>2</v>
      </c>
      <c r="C51">
        <f t="shared" ca="1" si="3"/>
        <v>2</v>
      </c>
      <c r="D51">
        <f t="shared" ca="1" si="4"/>
        <v>215</v>
      </c>
      <c r="E51">
        <f ca="1">IF($C51=1,OFFSET(E51,-1,0)+MAX(1,COUNTIF(QCI!$A$13:$A$24,OFFSET(ORÇAMENTO!E51,-1,0))),OFFSET(E51,-1,0))</f>
        <v>1</v>
      </c>
      <c r="F51">
        <f t="shared" ca="1" si="5"/>
        <v>5</v>
      </c>
      <c r="G51">
        <f t="shared" ca="1" si="6"/>
        <v>0</v>
      </c>
      <c r="H51">
        <f t="shared" ca="1" si="7"/>
        <v>0</v>
      </c>
      <c r="I51">
        <f t="shared" ca="1" si="8"/>
        <v>0</v>
      </c>
      <c r="J51">
        <f t="shared" ca="1" si="9"/>
        <v>215</v>
      </c>
      <c r="K51" t="e">
        <f ca="1">IF(OR($C51="S",$C51=0),0,MATCH(OFFSET($D51,0,$C51)+IF($C51&lt;&gt;1,1,COUNTIF(QCI!$A$13:$A$24,ORÇAMENTO!E51)),OFFSET($D51,1,$C51,ROW($C$266)-ROW($C51)),0))</f>
        <v>#N/A</v>
      </c>
      <c r="L51" s="144" t="str">
        <f t="shared" ca="1" si="10"/>
        <v>F</v>
      </c>
      <c r="M51" s="145" t="s">
        <v>195</v>
      </c>
      <c r="N51" s="146" t="str">
        <f t="shared" ca="1" si="11"/>
        <v>Nível 2</v>
      </c>
      <c r="O51" s="147" t="str">
        <f t="shared" ca="1" si="12"/>
        <v>1.5.</v>
      </c>
      <c r="P51" s="148" t="s">
        <v>246</v>
      </c>
      <c r="Q51" s="149"/>
      <c r="R51" s="150" t="str">
        <f ca="1">IF($C51="S",REFERENCIA.Descricao,"ENSAIOS TECNOLÓGICOS")</f>
        <v>ENSAIOS TECNOLÓGICOS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12892.26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12892.26</v>
      </c>
      <c r="AB51" s="158">
        <f t="shared" ca="1" si="17"/>
        <v>0</v>
      </c>
      <c r="AC51" s="159" t="str">
        <f t="shared" ca="1" si="18"/>
        <v/>
      </c>
      <c r="AD51" s="105">
        <f ca="1">IF(C51&lt;=CRONO.NivelExibicao,MAX($AD$15:OFFSET(AD51,-1,0))+IF($C51&lt;&gt;1,1,MAX(1,COUNTIF(QCI!$A$13:$A$24,OFFSET($E51,-1,0)))),"")</f>
        <v>6</v>
      </c>
      <c r="AE51" s="115" t="b">
        <f t="shared" ca="1" si="19"/>
        <v>0</v>
      </c>
      <c r="AF51" s="160" t="str">
        <f t="shared" ca="1" si="20"/>
        <v>(Sem Código)</v>
      </c>
      <c r="AG51" s="550">
        <f t="shared" ca="1" si="21"/>
        <v>0</v>
      </c>
      <c r="AH51" s="551">
        <f t="shared" ca="1" si="22"/>
        <v>0.26319999999999999</v>
      </c>
      <c r="AJ51" s="553"/>
      <c r="AL51" s="574"/>
      <c r="AM51" s="431">
        <f t="shared" ca="1" si="0"/>
        <v>12892.26</v>
      </c>
      <c r="AN51" s="617">
        <f t="shared" ca="1" si="23"/>
        <v>0</v>
      </c>
    </row>
    <row r="52" spans="1:40" ht="25.5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5</v>
      </c>
      <c r="G52">
        <f t="shared" ca="1" si="6"/>
        <v>0</v>
      </c>
      <c r="H52">
        <f t="shared" ca="1" si="7"/>
        <v>0</v>
      </c>
      <c r="I52">
        <f t="shared" ca="1" si="8"/>
        <v>1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>F</v>
      </c>
      <c r="M52" s="145" t="s">
        <v>198</v>
      </c>
      <c r="N52" s="146" t="str">
        <f t="shared" ca="1" si="11"/>
        <v>Serviço</v>
      </c>
      <c r="O52" s="147" t="str">
        <f t="shared" ca="1" si="12"/>
        <v>1.5.1.</v>
      </c>
      <c r="P52" s="148" t="s">
        <v>451</v>
      </c>
      <c r="Q52" s="149" t="s">
        <v>454</v>
      </c>
      <c r="R52" s="150" t="str">
        <f t="shared" ca="1" si="24"/>
        <v>MOBILIZAÇÃO E DEMOBILIZAÇÃO DE EQUIPEMENTO E EQUIPE PARA EXTRAÇÃO DE CORPOS DE PROVA DA CAPA ASFÁLTICA</v>
      </c>
      <c r="S52" s="151" t="str">
        <f t="shared" ca="1" si="13"/>
        <v>GB</v>
      </c>
      <c r="T52" s="152">
        <f ca="1">OFFSET(CÁLCULO!H$15,ROW($T52)-ROW(T$15),0)</f>
        <v>1</v>
      </c>
      <c r="U52" s="153">
        <v>4303.6400000000003</v>
      </c>
      <c r="V52" s="154" t="s">
        <v>155</v>
      </c>
      <c r="W52" s="152">
        <f t="shared" ca="1" si="14"/>
        <v>5436.36</v>
      </c>
      <c r="X52" s="155">
        <f t="shared" ca="1" si="15"/>
        <v>5436.36</v>
      </c>
      <c r="Y52" s="156" t="s">
        <v>244</v>
      </c>
      <c r="Z52" t="str">
        <f t="shared" ca="1" si="16"/>
        <v>RA</v>
      </c>
      <c r="AA52" s="157">
        <f ca="1">IF($C52="S",IF($Z52="CP",$X52,IF($Z52="RA",(($X52)*QCI!$AA$3),0)),SomaAgrup)</f>
        <v>5436.36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str">
        <f t="shared" ca="1" si="19"/>
        <v>DAER/RS 3.20</v>
      </c>
      <c r="AF52" s="160">
        <f t="shared" ca="1" si="20"/>
        <v>11604</v>
      </c>
      <c r="AG52" s="550">
        <f t="shared" ca="1" si="21"/>
        <v>4303.6400000000003</v>
      </c>
      <c r="AH52" s="551">
        <f t="shared" ca="1" si="22"/>
        <v>0.26319999999999999</v>
      </c>
      <c r="AJ52" s="553"/>
      <c r="AL52" s="574"/>
      <c r="AM52" s="431">
        <f t="shared" ca="1" si="0"/>
        <v>5436.36</v>
      </c>
      <c r="AN52" s="617">
        <f t="shared" ca="1" si="23"/>
        <v>5436.36</v>
      </c>
    </row>
    <row r="53" spans="1:40" ht="25.5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5</v>
      </c>
      <c r="G53">
        <f t="shared" ca="1" si="6"/>
        <v>0</v>
      </c>
      <c r="H53">
        <f t="shared" ca="1" si="7"/>
        <v>0</v>
      </c>
      <c r="I53">
        <f t="shared" ca="1" si="8"/>
        <v>2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>F</v>
      </c>
      <c r="M53" s="145" t="s">
        <v>198</v>
      </c>
      <c r="N53" s="146" t="str">
        <f t="shared" ca="1" si="11"/>
        <v>Serviço</v>
      </c>
      <c r="O53" s="147" t="str">
        <f t="shared" ca="1" si="12"/>
        <v>1.5.2.</v>
      </c>
      <c r="P53" s="148" t="s">
        <v>451</v>
      </c>
      <c r="Q53" s="149" t="s">
        <v>470</v>
      </c>
      <c r="R53" s="150" t="str">
        <f ca="1">IF($C53="S",REFERENCIA.Descricao,"(digite a descrição aqui)")</f>
        <v>EXTRAÇÃO DE CORPO DE PROVA DE CONCRETO ASFÁLTICO COM SONDA ROTATIVA</v>
      </c>
      <c r="S53" s="151" t="str">
        <f t="shared" ca="1" si="13"/>
        <v xml:space="preserve">UN </v>
      </c>
      <c r="T53" s="152">
        <f ca="1">OFFSET(CÁLCULO!H$15,ROW($T53)-ROW(T$15),0)</f>
        <v>15</v>
      </c>
      <c r="U53" s="153">
        <v>98</v>
      </c>
      <c r="V53" s="154" t="s">
        <v>155</v>
      </c>
      <c r="W53" s="152">
        <f t="shared" ca="1" si="14"/>
        <v>123.79</v>
      </c>
      <c r="X53" s="155">
        <f t="shared" ca="1" si="15"/>
        <v>1856.85</v>
      </c>
      <c r="Y53" s="156" t="s">
        <v>244</v>
      </c>
      <c r="Z53" t="str">
        <f t="shared" ca="1" si="16"/>
        <v>RA</v>
      </c>
      <c r="AA53" s="157">
        <f ca="1">IF($C53="S",IF($Z53="CP",$X53,IF($Z53="RA",(($X53)*QCI!$AA$3),0)),SomaAgrup)</f>
        <v>1856.85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str">
        <f t="shared" ca="1" si="19"/>
        <v>DAER/RS 7.1</v>
      </c>
      <c r="AF53" s="160">
        <f t="shared" ca="1" si="20"/>
        <v>11605</v>
      </c>
      <c r="AG53" s="550">
        <f t="shared" ca="1" si="21"/>
        <v>98</v>
      </c>
      <c r="AH53" s="551">
        <f t="shared" ca="1" si="22"/>
        <v>0.26319999999999999</v>
      </c>
      <c r="AJ53" s="553"/>
      <c r="AL53" s="574"/>
      <c r="AM53" s="431">
        <f t="shared" ca="1" si="0"/>
        <v>1856.85</v>
      </c>
      <c r="AN53" s="617">
        <f t="shared" ca="1" si="23"/>
        <v>123.79</v>
      </c>
    </row>
    <row r="54" spans="1:40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5</v>
      </c>
      <c r="G54">
        <f t="shared" ca="1" si="6"/>
        <v>0</v>
      </c>
      <c r="H54">
        <f t="shared" ca="1" si="7"/>
        <v>0</v>
      </c>
      <c r="I54">
        <f t="shared" ca="1" si="8"/>
        <v>3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>F</v>
      </c>
      <c r="M54" s="145" t="s">
        <v>198</v>
      </c>
      <c r="N54" s="146" t="str">
        <f t="shared" ca="1" si="11"/>
        <v>Serviço</v>
      </c>
      <c r="O54" s="147" t="str">
        <f t="shared" ca="1" si="12"/>
        <v>1.5.3.</v>
      </c>
      <c r="P54" s="148" t="s">
        <v>451</v>
      </c>
      <c r="Q54" s="149" t="s">
        <v>471</v>
      </c>
      <c r="R54" s="150" t="str">
        <f t="shared" ca="1" si="24"/>
        <v>ENSAIO DE PERCENTAGEM DE BETUME - MISTURAS BETUMINOSAS</v>
      </c>
      <c r="S54" s="151" t="str">
        <f t="shared" ca="1" si="13"/>
        <v xml:space="preserve">UN </v>
      </c>
      <c r="T54" s="152">
        <f ca="1">OFFSET(CÁLCULO!H$15,ROW($T54)-ROW(T$15),0)</f>
        <v>15</v>
      </c>
      <c r="U54" s="153">
        <v>125.7</v>
      </c>
      <c r="V54" s="154" t="s">
        <v>155</v>
      </c>
      <c r="W54" s="152">
        <f t="shared" ca="1" si="14"/>
        <v>158.78</v>
      </c>
      <c r="X54" s="155">
        <f t="shared" ca="1" si="15"/>
        <v>2381.6999999999998</v>
      </c>
      <c r="Y54" s="156" t="s">
        <v>244</v>
      </c>
      <c r="Z54" t="str">
        <f t="shared" ca="1" si="16"/>
        <v>RA</v>
      </c>
      <c r="AA54" s="157">
        <f ca="1">IF($C54="S",IF($Z54="CP",$X54,IF($Z54="RA",(($X54)*QCI!$AA$3),0)),SomaAgrup)</f>
        <v>2381.6999999999998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str">
        <f t="shared" ca="1" si="19"/>
        <v>DAER/RS 7.4</v>
      </c>
      <c r="AF54" s="160">
        <f t="shared" ca="1" si="20"/>
        <v>11606</v>
      </c>
      <c r="AG54" s="550">
        <f t="shared" ca="1" si="21"/>
        <v>125.7</v>
      </c>
      <c r="AH54" s="551">
        <f t="shared" ca="1" si="22"/>
        <v>0.26319999999999999</v>
      </c>
      <c r="AJ54" s="553"/>
      <c r="AL54" s="574"/>
      <c r="AM54" s="431">
        <f t="shared" ca="1" si="0"/>
        <v>2381.6999999999998</v>
      </c>
      <c r="AN54" s="617">
        <f t="shared" ca="1" si="23"/>
        <v>158.78</v>
      </c>
    </row>
    <row r="55" spans="1:40" ht="25.5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5</v>
      </c>
      <c r="G55">
        <f t="shared" ca="1" si="6"/>
        <v>0</v>
      </c>
      <c r="H55">
        <f t="shared" ca="1" si="7"/>
        <v>0</v>
      </c>
      <c r="I55">
        <f t="shared" ca="1" si="8"/>
        <v>4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>F</v>
      </c>
      <c r="M55" s="145" t="s">
        <v>198</v>
      </c>
      <c r="N55" s="146" t="str">
        <f t="shared" ca="1" si="11"/>
        <v>Serviço</v>
      </c>
      <c r="O55" s="147" t="str">
        <f t="shared" ca="1" si="12"/>
        <v>1.5.4.</v>
      </c>
      <c r="P55" s="148" t="s">
        <v>472</v>
      </c>
      <c r="Q55" s="149" t="s">
        <v>452</v>
      </c>
      <c r="R55" s="150" t="str">
        <f t="shared" ca="1" si="24"/>
        <v>ENSAIO DE CONTROLE DO GRAU DE COMPACTAÇÃO DA MISTURA ASFÁLTICA</v>
      </c>
      <c r="S55" s="151" t="str">
        <f t="shared" ca="1" si="13"/>
        <v xml:space="preserve">UN </v>
      </c>
      <c r="T55" s="152">
        <f ca="1">OFFSET(CÁLCULO!H$15,ROW($T55)-ROW(T$15),0)</f>
        <v>15</v>
      </c>
      <c r="U55" s="153">
        <v>93.8</v>
      </c>
      <c r="V55" s="154" t="s">
        <v>155</v>
      </c>
      <c r="W55" s="152">
        <f t="shared" ca="1" si="14"/>
        <v>118.49</v>
      </c>
      <c r="X55" s="155">
        <f t="shared" ca="1" si="15"/>
        <v>1777.35</v>
      </c>
      <c r="Y55" s="156" t="s">
        <v>244</v>
      </c>
      <c r="Z55" t="str">
        <f t="shared" ca="1" si="16"/>
        <v>RA</v>
      </c>
      <c r="AA55" s="157">
        <f ca="1">IF($C55="S",IF($Z55="CP",$X55,IF($Z55="RA",(($X55)*QCI!$AA$3),0)),SomaAgrup)</f>
        <v>1777.35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str">
        <f t="shared" ca="1" si="19"/>
        <v>SEIL/2016 74022/53</v>
      </c>
      <c r="AF55" s="160">
        <f t="shared" ca="1" si="20"/>
        <v>11597</v>
      </c>
      <c r="AG55" s="550">
        <f t="shared" ca="1" si="21"/>
        <v>93.8</v>
      </c>
      <c r="AH55" s="551">
        <f t="shared" ca="1" si="22"/>
        <v>0.26319999999999999</v>
      </c>
      <c r="AJ55" s="553"/>
      <c r="AL55" s="574"/>
      <c r="AM55" s="431">
        <f t="shared" ca="1" si="0"/>
        <v>1777.35</v>
      </c>
      <c r="AN55" s="617">
        <f t="shared" ca="1" si="23"/>
        <v>118.49</v>
      </c>
    </row>
    <row r="56" spans="1:40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5</v>
      </c>
      <c r="G56">
        <f t="shared" ca="1" si="6"/>
        <v>0</v>
      </c>
      <c r="H56">
        <f t="shared" ca="1" si="7"/>
        <v>0</v>
      </c>
      <c r="I56">
        <f t="shared" ca="1" si="8"/>
        <v>5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>F</v>
      </c>
      <c r="M56" s="145" t="s">
        <v>198</v>
      </c>
      <c r="N56" s="146" t="str">
        <f t="shared" ca="1" si="11"/>
        <v>Serviço</v>
      </c>
      <c r="O56" s="147" t="str">
        <f t="shared" ca="1" si="12"/>
        <v>1.5.5.</v>
      </c>
      <c r="P56" s="148" t="s">
        <v>472</v>
      </c>
      <c r="Q56" s="149" t="s">
        <v>453</v>
      </c>
      <c r="R56" s="150" t="str">
        <f t="shared" ca="1" si="24"/>
        <v>ENSAIO DE DENSIDADE DO MATERIAL BETUMINOSO</v>
      </c>
      <c r="S56" s="151" t="str">
        <f t="shared" ca="1" si="13"/>
        <v xml:space="preserve">UN </v>
      </c>
      <c r="T56" s="152">
        <f ca="1">OFFSET(CÁLCULO!H$15,ROW($T56)-ROW(T$15),0)</f>
        <v>15</v>
      </c>
      <c r="U56" s="153">
        <v>76</v>
      </c>
      <c r="V56" s="154" t="s">
        <v>155</v>
      </c>
      <c r="W56" s="152">
        <f t="shared" ca="1" si="14"/>
        <v>96</v>
      </c>
      <c r="X56" s="155">
        <f t="shared" ca="1" si="15"/>
        <v>1440</v>
      </c>
      <c r="Y56" s="156" t="s">
        <v>244</v>
      </c>
      <c r="Z56" t="str">
        <f t="shared" ca="1" si="16"/>
        <v>RA</v>
      </c>
      <c r="AA56" s="157">
        <f ca="1">IF($C56="S",IF($Z56="CP",$X56,IF($Z56="RA",(($X56)*QCI!$AA$3),0)),SomaAgrup)</f>
        <v>1440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str">
        <f t="shared" ca="1" si="19"/>
        <v>SEIL/2016 74022/56</v>
      </c>
      <c r="AF56" s="160">
        <f t="shared" ca="1" si="20"/>
        <v>11596</v>
      </c>
      <c r="AG56" s="550">
        <f t="shared" ca="1" si="21"/>
        <v>76</v>
      </c>
      <c r="AH56" s="551">
        <f t="shared" ca="1" si="22"/>
        <v>0.26319999999999999</v>
      </c>
      <c r="AJ56" s="553"/>
      <c r="AL56" s="574"/>
      <c r="AM56" s="431">
        <f t="shared" ca="1" si="0"/>
        <v>1440</v>
      </c>
      <c r="AN56" s="617">
        <f t="shared" ca="1" si="23"/>
        <v>96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5</v>
      </c>
      <c r="G57">
        <f t="shared" ca="1" si="6"/>
        <v>0</v>
      </c>
      <c r="H57">
        <f t="shared" ca="1" si="7"/>
        <v>0</v>
      </c>
      <c r="I57">
        <f t="shared" ca="1" si="8"/>
        <v>5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0.26319999999999999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5</v>
      </c>
      <c r="G58">
        <f t="shared" ca="1" si="6"/>
        <v>0</v>
      </c>
      <c r="H58">
        <f t="shared" ca="1" si="7"/>
        <v>0</v>
      </c>
      <c r="I58">
        <f t="shared" ca="1" si="8"/>
        <v>5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(Sem Código)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0.26319999999999999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5</v>
      </c>
      <c r="G59">
        <f t="shared" ca="1" si="6"/>
        <v>0</v>
      </c>
      <c r="H59">
        <f t="shared" ca="1" si="7"/>
        <v>0</v>
      </c>
      <c r="I59">
        <f t="shared" ca="1" si="8"/>
        <v>5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(Sem Código)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0.26319999999999999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5</v>
      </c>
      <c r="G60">
        <f t="shared" ca="1" si="6"/>
        <v>0</v>
      </c>
      <c r="H60">
        <f t="shared" ca="1" si="7"/>
        <v>0</v>
      </c>
      <c r="I60">
        <f t="shared" ca="1" si="8"/>
        <v>5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0.26319999999999999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5</v>
      </c>
      <c r="G61">
        <f t="shared" ca="1" si="6"/>
        <v>0</v>
      </c>
      <c r="H61">
        <f t="shared" ca="1" si="7"/>
        <v>0</v>
      </c>
      <c r="I61">
        <f t="shared" ca="1" si="8"/>
        <v>5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(Sem Código)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(Sem Código)</v>
      </c>
      <c r="AG61" s="550">
        <f t="shared" ca="1" si="21"/>
        <v>0</v>
      </c>
      <c r="AH61" s="551">
        <f t="shared" ca="1" si="22"/>
        <v>0.26319999999999999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5</v>
      </c>
      <c r="G62">
        <f t="shared" ca="1" si="6"/>
        <v>0</v>
      </c>
      <c r="H62">
        <f t="shared" ca="1" si="7"/>
        <v>0</v>
      </c>
      <c r="I62">
        <f t="shared" ca="1" si="8"/>
        <v>5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ca="1">IF($C62="S",REFERENCIA.Descricao,"DRENAGEM")</f>
        <v>(Sem Código)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(Sem Código)</v>
      </c>
      <c r="AG62" s="550">
        <f t="shared" ca="1" si="21"/>
        <v>0</v>
      </c>
      <c r="AH62" s="551">
        <f t="shared" ca="1" si="22"/>
        <v>0.26319999999999999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5</v>
      </c>
      <c r="G63">
        <f t="shared" ca="1" si="6"/>
        <v>0</v>
      </c>
      <c r="H63">
        <f t="shared" ca="1" si="7"/>
        <v>0</v>
      </c>
      <c r="I63">
        <f t="shared" ca="1" si="8"/>
        <v>5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449</v>
      </c>
      <c r="Q63" s="149" t="s">
        <v>482</v>
      </c>
      <c r="R63" s="150" t="str">
        <f t="shared" ca="1" si="24"/>
        <v>LIMPEZA DE BUEIRO</v>
      </c>
      <c r="S63" s="151" t="str">
        <f t="shared" ca="1" si="13"/>
        <v xml:space="preserve">UN </v>
      </c>
      <c r="T63" s="152">
        <f ca="1">OFFSET(CÁLCULO!H$15,ROW($T63)-ROW(T$15),0)</f>
        <v>0</v>
      </c>
      <c r="U63" s="153">
        <v>103.04</v>
      </c>
      <c r="V63" s="154" t="s">
        <v>155</v>
      </c>
      <c r="W63" s="152">
        <f t="shared" ca="1" si="14"/>
        <v>130.16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str">
        <f t="shared" ca="1" si="19"/>
        <v>DER 600310</v>
      </c>
      <c r="AF63" s="160">
        <f t="shared" ca="1" si="20"/>
        <v>11610</v>
      </c>
      <c r="AG63" s="550">
        <f t="shared" ca="1" si="21"/>
        <v>103.04</v>
      </c>
      <c r="AH63" s="551">
        <f t="shared" ca="1" si="22"/>
        <v>0.26319999999999999</v>
      </c>
      <c r="AJ63" s="553"/>
      <c r="AL63" s="574"/>
      <c r="AM63" s="431">
        <f t="shared" ca="1" si="0"/>
        <v>0</v>
      </c>
      <c r="AN63" s="617">
        <f t="shared" ca="1" si="23"/>
        <v>130.16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5</v>
      </c>
      <c r="G64">
        <f t="shared" ca="1" si="6"/>
        <v>0</v>
      </c>
      <c r="H64">
        <f t="shared" ca="1" si="7"/>
        <v>0</v>
      </c>
      <c r="I64">
        <f t="shared" ca="1" si="8"/>
        <v>5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449</v>
      </c>
      <c r="Q64" s="149" t="s">
        <v>479</v>
      </c>
      <c r="R64" s="150" t="str">
        <f t="shared" ca="1" si="24"/>
        <v>ESCAVAÇÃO DE BUEIRO EM 1ª CATEGORIA</v>
      </c>
      <c r="S64" s="151" t="str">
        <f t="shared" ca="1" si="13"/>
        <v>M3</v>
      </c>
      <c r="T64" s="152">
        <f ca="1">OFFSET(CÁLCULO!H$15,ROW($T64)-ROW(T$15),0)</f>
        <v>0</v>
      </c>
      <c r="U64" s="153">
        <v>6.96</v>
      </c>
      <c r="V64" s="154" t="s">
        <v>155</v>
      </c>
      <c r="W64" s="152">
        <f t="shared" ca="1" si="14"/>
        <v>8.7899999999999991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str">
        <f t="shared" ca="1" si="19"/>
        <v>DER 600300</v>
      </c>
      <c r="AF64" s="160">
        <f t="shared" ca="1" si="20"/>
        <v>11609</v>
      </c>
      <c r="AG64" s="550">
        <f t="shared" ca="1" si="21"/>
        <v>6.96</v>
      </c>
      <c r="AH64" s="551">
        <f t="shared" ca="1" si="22"/>
        <v>0.26319999999999999</v>
      </c>
      <c r="AJ64" s="553"/>
      <c r="AL64" s="574"/>
      <c r="AM64" s="431">
        <f t="shared" ca="1" si="0"/>
        <v>0</v>
      </c>
      <c r="AN64" s="617">
        <f t="shared" ca="1" si="23"/>
        <v>8.7899999999999991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5</v>
      </c>
      <c r="G65">
        <f t="shared" ca="1" si="6"/>
        <v>0</v>
      </c>
      <c r="H65">
        <f t="shared" ca="1" si="7"/>
        <v>0</v>
      </c>
      <c r="I65">
        <f t="shared" ca="1" si="8"/>
        <v>5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449</v>
      </c>
      <c r="Q65" s="149" t="s">
        <v>480</v>
      </c>
      <c r="R65" s="150" t="str">
        <f t="shared" ca="1" si="24"/>
        <v>CORPO DE BSTC Ø0,40 SEM BERÇO E SEM ARMAÇÃO</v>
      </c>
      <c r="S65" s="151" t="str">
        <f t="shared" ca="1" si="13"/>
        <v>M</v>
      </c>
      <c r="T65" s="152">
        <f ca="1">OFFSET(CÁLCULO!H$15,ROW($T65)-ROW(T$15),0)</f>
        <v>0</v>
      </c>
      <c r="U65" s="153">
        <v>66.42</v>
      </c>
      <c r="V65" s="154" t="s">
        <v>155</v>
      </c>
      <c r="W65" s="152">
        <f t="shared" ca="1" si="14"/>
        <v>83.9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str">
        <f t="shared" ca="1" si="19"/>
        <v>DER 610400a</v>
      </c>
      <c r="AF65" s="160">
        <f t="shared" ca="1" si="20"/>
        <v>11612</v>
      </c>
      <c r="AG65" s="550">
        <f t="shared" ca="1" si="21"/>
        <v>66.42</v>
      </c>
      <c r="AH65" s="551">
        <f t="shared" ca="1" si="22"/>
        <v>0.26319999999999999</v>
      </c>
      <c r="AJ65" s="553"/>
      <c r="AL65" s="574"/>
      <c r="AM65" s="431">
        <f t="shared" ca="1" si="0"/>
        <v>0</v>
      </c>
      <c r="AN65" s="617">
        <f t="shared" ca="1" si="23"/>
        <v>83.9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5</v>
      </c>
      <c r="G66">
        <f t="shared" ca="1" si="6"/>
        <v>0</v>
      </c>
      <c r="H66">
        <f t="shared" ca="1" si="7"/>
        <v>0</v>
      </c>
      <c r="I66">
        <f t="shared" ca="1" si="8"/>
        <v>5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449</v>
      </c>
      <c r="Q66" s="149" t="s">
        <v>481</v>
      </c>
      <c r="R66" s="150" t="str">
        <f ca="1">IF($C66="S",REFERENCIA.Descricao,"(digite a descrição aqui)")</f>
        <v>REATERRO E APILOAMENTO MECÂNICO</v>
      </c>
      <c r="S66" s="151" t="str">
        <f t="shared" ca="1" si="13"/>
        <v>M3</v>
      </c>
      <c r="T66" s="152">
        <f ca="1">OFFSET(CÁLCULO!H$15,ROW($T66)-ROW(T$15),0)</f>
        <v>0</v>
      </c>
      <c r="U66" s="153">
        <v>23.62</v>
      </c>
      <c r="V66" s="154" t="s">
        <v>155</v>
      </c>
      <c r="W66" s="152">
        <f t="shared" ca="1" si="14"/>
        <v>29.84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str">
        <f t="shared" ca="1" si="19"/>
        <v>DER 601200</v>
      </c>
      <c r="AF66" s="160">
        <f t="shared" ca="1" si="20"/>
        <v>11611</v>
      </c>
      <c r="AG66" s="550">
        <f t="shared" ca="1" si="21"/>
        <v>23.62</v>
      </c>
      <c r="AH66" s="551">
        <f t="shared" ca="1" si="22"/>
        <v>0.26319999999999999</v>
      </c>
      <c r="AJ66" s="553"/>
      <c r="AL66" s="574"/>
      <c r="AM66" s="431">
        <f t="shared" ca="1" si="0"/>
        <v>0</v>
      </c>
      <c r="AN66" s="617">
        <f t="shared" ca="1" si="23"/>
        <v>29.84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5</v>
      </c>
      <c r="G67">
        <f t="shared" ca="1" si="6"/>
        <v>0</v>
      </c>
      <c r="H67">
        <f t="shared" ca="1" si="7"/>
        <v>0</v>
      </c>
      <c r="I67">
        <f t="shared" ca="1" si="8"/>
        <v>5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449</v>
      </c>
      <c r="Q67" s="149" t="s">
        <v>483</v>
      </c>
      <c r="R67" s="150" t="str">
        <f t="shared" ca="1" si="24"/>
        <v>RETIRADA E REASSENTAMENTO DE PEDRAS IRREGULARES</v>
      </c>
      <c r="S67" s="151" t="str">
        <f t="shared" ca="1" si="13"/>
        <v>M2</v>
      </c>
      <c r="T67" s="152">
        <f ca="1">OFFSET(CÁLCULO!H$15,ROW($T67)-ROW(T$15),0)</f>
        <v>0</v>
      </c>
      <c r="U67" s="153">
        <v>10.85</v>
      </c>
      <c r="V67" s="154" t="s">
        <v>155</v>
      </c>
      <c r="W67" s="152">
        <f t="shared" ca="1" si="14"/>
        <v>13.71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str">
        <f t="shared" ca="1" si="19"/>
        <v>DER 80000C</v>
      </c>
      <c r="AF67" s="160">
        <f t="shared" ca="1" si="20"/>
        <v>11613</v>
      </c>
      <c r="AG67" s="550">
        <f t="shared" ca="1" si="21"/>
        <v>10.85</v>
      </c>
      <c r="AH67" s="551">
        <f t="shared" ca="1" si="22"/>
        <v>0.26319999999999999</v>
      </c>
      <c r="AJ67" s="553"/>
      <c r="AL67" s="574"/>
      <c r="AM67" s="431">
        <f t="shared" ca="1" si="0"/>
        <v>0</v>
      </c>
      <c r="AN67" s="617">
        <f t="shared" ca="1" si="23"/>
        <v>13.71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5</v>
      </c>
      <c r="G68">
        <f t="shared" ca="1" si="6"/>
        <v>0</v>
      </c>
      <c r="H68">
        <f t="shared" ca="1" si="7"/>
        <v>0</v>
      </c>
      <c r="I68">
        <f t="shared" ca="1" si="8"/>
        <v>5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449</v>
      </c>
      <c r="Q68" s="149" t="s">
        <v>484</v>
      </c>
      <c r="R68" s="150" t="str">
        <f t="shared" ca="1" si="24"/>
        <v>BOCA DE LOBO SIMPLES PRÉ-MOLDADA H ATÉ 1,20 M</v>
      </c>
      <c r="S68" s="151" t="str">
        <f t="shared" ca="1" si="13"/>
        <v xml:space="preserve">UN </v>
      </c>
      <c r="T68" s="152">
        <f ca="1">OFFSET(CÁLCULO!H$15,ROW($T68)-ROW(T$15),0)</f>
        <v>0</v>
      </c>
      <c r="U68" s="153">
        <v>954.99</v>
      </c>
      <c r="V68" s="154" t="s">
        <v>155</v>
      </c>
      <c r="W68" s="152">
        <f t="shared" ca="1" si="14"/>
        <v>1206.3399999999999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str">
        <f t="shared" ca="1" si="19"/>
        <v>DER BLSM120</v>
      </c>
      <c r="AF68" s="160">
        <f t="shared" ca="1" si="20"/>
        <v>11614</v>
      </c>
      <c r="AG68" s="550">
        <f t="shared" ca="1" si="21"/>
        <v>954.99</v>
      </c>
      <c r="AH68" s="551">
        <f t="shared" ca="1" si="22"/>
        <v>0.26319999999999999</v>
      </c>
      <c r="AJ68" s="553"/>
      <c r="AL68" s="574"/>
      <c r="AM68" s="431">
        <f t="shared" ca="1" si="0"/>
        <v>0</v>
      </c>
      <c r="AN68" s="617">
        <f t="shared" ca="1" si="23"/>
        <v>1206.3399999999999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5</v>
      </c>
      <c r="G69">
        <f t="shared" ca="1" si="6"/>
        <v>0</v>
      </c>
      <c r="H69">
        <f t="shared" ca="1" si="7"/>
        <v>0</v>
      </c>
      <c r="I69">
        <f t="shared" ca="1" si="8"/>
        <v>5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(Sem Código)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0.26319999999999999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5</v>
      </c>
      <c r="G70">
        <f t="shared" ca="1" si="6"/>
        <v>0</v>
      </c>
      <c r="H70">
        <f t="shared" ca="1" si="7"/>
        <v>0</v>
      </c>
      <c r="I70">
        <f t="shared" ca="1" si="8"/>
        <v>5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0.26319999999999999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5</v>
      </c>
      <c r="G71">
        <f t="shared" ca="1" si="6"/>
        <v>0</v>
      </c>
      <c r="H71">
        <f t="shared" ca="1" si="7"/>
        <v>0</v>
      </c>
      <c r="I71">
        <f t="shared" ca="1" si="8"/>
        <v>5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0.26319999999999999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5</v>
      </c>
      <c r="G72">
        <f t="shared" ca="1" si="6"/>
        <v>0</v>
      </c>
      <c r="H72">
        <f t="shared" ca="1" si="7"/>
        <v>0</v>
      </c>
      <c r="I72">
        <f t="shared" ca="1" si="8"/>
        <v>5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0.26319999999999999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5</v>
      </c>
      <c r="G73">
        <f t="shared" ca="1" si="6"/>
        <v>0</v>
      </c>
      <c r="H73">
        <f t="shared" ca="1" si="7"/>
        <v>0</v>
      </c>
      <c r="I73">
        <f t="shared" ca="1" si="8"/>
        <v>5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0.26319999999999999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5</v>
      </c>
      <c r="G74">
        <f t="shared" ca="1" si="6"/>
        <v>0</v>
      </c>
      <c r="H74">
        <f t="shared" ca="1" si="7"/>
        <v>0</v>
      </c>
      <c r="I74">
        <f t="shared" ca="1" si="8"/>
        <v>5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(Sem Código)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0.26319999999999999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5</v>
      </c>
      <c r="G75">
        <f t="shared" ca="1" si="6"/>
        <v>0</v>
      </c>
      <c r="H75">
        <f t="shared" ca="1" si="7"/>
        <v>0</v>
      </c>
      <c r="I75">
        <f t="shared" ca="1" si="8"/>
        <v>5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(Sem Código)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(Sem Código)</v>
      </c>
      <c r="AG75" s="550">
        <f t="shared" ca="1" si="21"/>
        <v>0</v>
      </c>
      <c r="AH75" s="551">
        <f t="shared" ca="1" si="22"/>
        <v>0.26319999999999999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5</v>
      </c>
      <c r="G76">
        <f t="shared" ca="1" si="6"/>
        <v>0</v>
      </c>
      <c r="H76">
        <f t="shared" ca="1" si="7"/>
        <v>0</v>
      </c>
      <c r="I76">
        <f t="shared" ca="1" si="8"/>
        <v>5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(Sem Código)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(Sem Código)</v>
      </c>
      <c r="AG76" s="550">
        <f t="shared" ca="1" si="21"/>
        <v>0</v>
      </c>
      <c r="AH76" s="551">
        <f t="shared" ca="1" si="22"/>
        <v>0.26319999999999999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5</v>
      </c>
      <c r="G77">
        <f t="shared" ca="1" si="6"/>
        <v>0</v>
      </c>
      <c r="H77">
        <f t="shared" ca="1" si="7"/>
        <v>0</v>
      </c>
      <c r="I77">
        <f t="shared" ca="1" si="8"/>
        <v>5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(Sem Código)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(Sem Código)</v>
      </c>
      <c r="AG77" s="550">
        <f t="shared" ca="1" si="21"/>
        <v>0</v>
      </c>
      <c r="AH77" s="551">
        <f t="shared" ca="1" si="22"/>
        <v>0.26319999999999999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5</v>
      </c>
      <c r="G78">
        <f t="shared" ca="1" si="6"/>
        <v>0</v>
      </c>
      <c r="H78">
        <f t="shared" ca="1" si="7"/>
        <v>0</v>
      </c>
      <c r="I78">
        <f t="shared" ca="1" si="8"/>
        <v>5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246</v>
      </c>
      <c r="Q78" s="149"/>
      <c r="R78" s="150" t="str">
        <f t="shared" ca="1" si="24"/>
        <v>(Sem Código)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0.26319999999999999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5</v>
      </c>
      <c r="G79">
        <f t="shared" ca="1" si="6"/>
        <v>0</v>
      </c>
      <c r="H79">
        <f t="shared" ca="1" si="7"/>
        <v>0</v>
      </c>
      <c r="I79">
        <f t="shared" ca="1" si="8"/>
        <v>5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246</v>
      </c>
      <c r="Q79" s="149"/>
      <c r="R79" s="150" t="str">
        <f t="shared" ca="1" si="24"/>
        <v>(Sem Código)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0.26319999999999999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5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5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(Sem Código)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0.26319999999999999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5</v>
      </c>
      <c r="G81">
        <f t="shared" ca="1" si="30"/>
        <v>0</v>
      </c>
      <c r="H81">
        <f t="shared" ca="1" si="31"/>
        <v>0</v>
      </c>
      <c r="I81">
        <f t="shared" ca="1" si="32"/>
        <v>5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(Sem Código)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(Sem Código)</v>
      </c>
      <c r="AG81" s="550">
        <f t="shared" ca="1" si="46"/>
        <v>0</v>
      </c>
      <c r="AH81" s="551">
        <f t="shared" ca="1" si="47"/>
        <v>0.26319999999999999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5</v>
      </c>
      <c r="G82">
        <f t="shared" ca="1" si="30"/>
        <v>0</v>
      </c>
      <c r="H82">
        <f t="shared" ca="1" si="31"/>
        <v>0</v>
      </c>
      <c r="I82">
        <f t="shared" ca="1" si="32"/>
        <v>5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246</v>
      </c>
      <c r="Q82" s="149"/>
      <c r="R82" s="150" t="str">
        <f t="shared" ca="1" si="37"/>
        <v>(Sem Código)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(Sem Código)</v>
      </c>
      <c r="AG82" s="550">
        <f t="shared" ca="1" si="46"/>
        <v>0</v>
      </c>
      <c r="AH82" s="551">
        <f t="shared" ca="1" si="47"/>
        <v>0.26319999999999999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5</v>
      </c>
      <c r="G83">
        <f t="shared" ca="1" si="30"/>
        <v>0</v>
      </c>
      <c r="H83">
        <f t="shared" ca="1" si="31"/>
        <v>0</v>
      </c>
      <c r="I83">
        <f t="shared" ca="1" si="32"/>
        <v>5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(Sem Código)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(Sem Código)</v>
      </c>
      <c r="AG83" s="550">
        <f t="shared" ca="1" si="46"/>
        <v>0</v>
      </c>
      <c r="AH83" s="551">
        <f t="shared" ca="1" si="47"/>
        <v>0.26319999999999999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5</v>
      </c>
      <c r="G84">
        <f t="shared" ca="1" si="30"/>
        <v>0</v>
      </c>
      <c r="H84">
        <f t="shared" ca="1" si="31"/>
        <v>0</v>
      </c>
      <c r="I84">
        <f t="shared" ca="1" si="32"/>
        <v>5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(Sem Código)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(Sem Código)</v>
      </c>
      <c r="AG84" s="550">
        <f t="shared" ca="1" si="46"/>
        <v>0</v>
      </c>
      <c r="AH84" s="551">
        <f t="shared" ca="1" si="47"/>
        <v>0.26319999999999999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5</v>
      </c>
      <c r="G85">
        <f t="shared" ca="1" si="30"/>
        <v>0</v>
      </c>
      <c r="H85">
        <f t="shared" ca="1" si="31"/>
        <v>0</v>
      </c>
      <c r="I85">
        <f t="shared" ca="1" si="32"/>
        <v>5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(Sem Código)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(Sem Código)</v>
      </c>
      <c r="AG85" s="550">
        <f t="shared" ca="1" si="46"/>
        <v>0</v>
      </c>
      <c r="AH85" s="551">
        <f t="shared" ca="1" si="47"/>
        <v>0.26319999999999999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5</v>
      </c>
      <c r="G86">
        <f t="shared" ca="1" si="30"/>
        <v>0</v>
      </c>
      <c r="H86">
        <f t="shared" ca="1" si="31"/>
        <v>0</v>
      </c>
      <c r="I86">
        <f t="shared" ca="1" si="32"/>
        <v>5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(Sem Código)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(Sem Código)</v>
      </c>
      <c r="AG86" s="550">
        <f t="shared" ca="1" si="46"/>
        <v>0</v>
      </c>
      <c r="AH86" s="551">
        <f t="shared" ca="1" si="47"/>
        <v>0.26319999999999999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5</v>
      </c>
      <c r="G87">
        <f t="shared" ca="1" si="30"/>
        <v>0</v>
      </c>
      <c r="H87">
        <f t="shared" ca="1" si="31"/>
        <v>0</v>
      </c>
      <c r="I87">
        <f t="shared" ca="1" si="32"/>
        <v>5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(Sem Código)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(Sem Código)</v>
      </c>
      <c r="AG87" s="550">
        <f t="shared" ca="1" si="46"/>
        <v>0</v>
      </c>
      <c r="AH87" s="551">
        <f t="shared" ca="1" si="47"/>
        <v>0.26319999999999999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5</v>
      </c>
      <c r="G88">
        <f t="shared" ca="1" si="30"/>
        <v>0</v>
      </c>
      <c r="H88">
        <f t="shared" ca="1" si="31"/>
        <v>0</v>
      </c>
      <c r="I88">
        <f t="shared" ca="1" si="32"/>
        <v>5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(Sem Código)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(Sem Código)</v>
      </c>
      <c r="AG88" s="550">
        <f t="shared" ca="1" si="46"/>
        <v>0</v>
      </c>
      <c r="AH88" s="551">
        <f t="shared" ca="1" si="47"/>
        <v>0.26319999999999999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5</v>
      </c>
      <c r="G89">
        <f t="shared" ca="1" si="30"/>
        <v>0</v>
      </c>
      <c r="H89">
        <f t="shared" ca="1" si="31"/>
        <v>0</v>
      </c>
      <c r="I89">
        <f t="shared" ca="1" si="32"/>
        <v>5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0.26319999999999999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5</v>
      </c>
      <c r="G90">
        <f t="shared" ca="1" si="30"/>
        <v>0</v>
      </c>
      <c r="H90">
        <f t="shared" ca="1" si="31"/>
        <v>0</v>
      </c>
      <c r="I90">
        <f t="shared" ca="1" si="32"/>
        <v>5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0.26319999999999999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5</v>
      </c>
      <c r="G91">
        <f t="shared" ca="1" si="30"/>
        <v>0</v>
      </c>
      <c r="H91">
        <f t="shared" ca="1" si="31"/>
        <v>0</v>
      </c>
      <c r="I91">
        <f t="shared" ca="1" si="32"/>
        <v>5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(Sem Código)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0.26319999999999999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5</v>
      </c>
      <c r="G92">
        <f t="shared" ca="1" si="30"/>
        <v>0</v>
      </c>
      <c r="H92">
        <f t="shared" ca="1" si="31"/>
        <v>0</v>
      </c>
      <c r="I92">
        <f t="shared" ca="1" si="32"/>
        <v>5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0.26319999999999999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5</v>
      </c>
      <c r="G93">
        <f t="shared" ca="1" si="30"/>
        <v>0</v>
      </c>
      <c r="H93">
        <f t="shared" ca="1" si="31"/>
        <v>0</v>
      </c>
      <c r="I93">
        <f t="shared" ca="1" si="32"/>
        <v>5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(Sem Código)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0.26319999999999999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5</v>
      </c>
      <c r="G94">
        <f t="shared" ca="1" si="30"/>
        <v>0</v>
      </c>
      <c r="H94">
        <f t="shared" ca="1" si="31"/>
        <v>0</v>
      </c>
      <c r="I94">
        <f t="shared" ca="1" si="32"/>
        <v>5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(Sem Código)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(Sem Código)</v>
      </c>
      <c r="AG94" s="550">
        <f t="shared" ca="1" si="46"/>
        <v>0</v>
      </c>
      <c r="AH94" s="551">
        <f t="shared" ca="1" si="47"/>
        <v>0.26319999999999999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5</v>
      </c>
      <c r="G95">
        <f t="shared" ca="1" si="30"/>
        <v>0</v>
      </c>
      <c r="H95">
        <f t="shared" ca="1" si="31"/>
        <v>0</v>
      </c>
      <c r="I95">
        <f t="shared" ca="1" si="32"/>
        <v>5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(Sem Código)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(Sem Código)</v>
      </c>
      <c r="AG95" s="550">
        <f t="shared" ca="1" si="46"/>
        <v>0</v>
      </c>
      <c r="AH95" s="551">
        <f t="shared" ca="1" si="47"/>
        <v>0.26319999999999999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5</v>
      </c>
      <c r="G96">
        <f t="shared" ca="1" si="30"/>
        <v>0</v>
      </c>
      <c r="H96">
        <f t="shared" ca="1" si="31"/>
        <v>0</v>
      </c>
      <c r="I96">
        <f t="shared" ca="1" si="32"/>
        <v>5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(Sem Código)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(Sem Código)</v>
      </c>
      <c r="AG96" s="550">
        <f t="shared" ca="1" si="46"/>
        <v>0</v>
      </c>
      <c r="AH96" s="551">
        <f t="shared" ca="1" si="47"/>
        <v>0.26319999999999999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5</v>
      </c>
      <c r="G97">
        <f t="shared" ca="1" si="30"/>
        <v>0</v>
      </c>
      <c r="H97">
        <f t="shared" ca="1" si="31"/>
        <v>0</v>
      </c>
      <c r="I97">
        <f t="shared" ca="1" si="32"/>
        <v>5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(Sem Código)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(Sem Código)</v>
      </c>
      <c r="AG97" s="550">
        <f t="shared" ca="1" si="46"/>
        <v>0</v>
      </c>
      <c r="AH97" s="551">
        <f t="shared" ca="1" si="47"/>
        <v>0.26319999999999999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5</v>
      </c>
      <c r="G98">
        <f t="shared" ca="1" si="30"/>
        <v>0</v>
      </c>
      <c r="H98">
        <f t="shared" ca="1" si="31"/>
        <v>0</v>
      </c>
      <c r="I98">
        <f t="shared" ca="1" si="32"/>
        <v>5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(Sem Código)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(Sem Código)</v>
      </c>
      <c r="AG98" s="550">
        <f t="shared" ca="1" si="46"/>
        <v>0</v>
      </c>
      <c r="AH98" s="551">
        <f t="shared" ca="1" si="47"/>
        <v>0.26319999999999999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5</v>
      </c>
      <c r="G99">
        <f t="shared" ca="1" si="30"/>
        <v>0</v>
      </c>
      <c r="H99">
        <f t="shared" ca="1" si="31"/>
        <v>0</v>
      </c>
      <c r="I99">
        <f t="shared" ca="1" si="32"/>
        <v>5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(Sem Código)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0.26319999999999999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5</v>
      </c>
      <c r="G100">
        <f t="shared" ca="1" si="30"/>
        <v>0</v>
      </c>
      <c r="H100">
        <f t="shared" ca="1" si="31"/>
        <v>0</v>
      </c>
      <c r="I100">
        <f t="shared" ca="1" si="32"/>
        <v>5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0.26319999999999999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5</v>
      </c>
      <c r="G101">
        <f t="shared" ca="1" si="30"/>
        <v>0</v>
      </c>
      <c r="H101">
        <f t="shared" ca="1" si="31"/>
        <v>0</v>
      </c>
      <c r="I101">
        <f t="shared" ca="1" si="32"/>
        <v>5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(Sem Código)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0.26319999999999999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5</v>
      </c>
      <c r="G102">
        <f t="shared" ca="1" si="30"/>
        <v>0</v>
      </c>
      <c r="H102">
        <f t="shared" ca="1" si="31"/>
        <v>0</v>
      </c>
      <c r="I102">
        <f t="shared" ca="1" si="32"/>
        <v>5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(Sem Código)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(Sem Código)</v>
      </c>
      <c r="AG102" s="550">
        <f t="shared" ca="1" si="46"/>
        <v>0</v>
      </c>
      <c r="AH102" s="551">
        <f t="shared" ca="1" si="47"/>
        <v>0.26319999999999999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5</v>
      </c>
      <c r="G103">
        <f t="shared" ca="1" si="30"/>
        <v>0</v>
      </c>
      <c r="H103">
        <f t="shared" ca="1" si="31"/>
        <v>0</v>
      </c>
      <c r="I103">
        <f t="shared" ca="1" si="32"/>
        <v>5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(Sem Código)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(Sem Código)</v>
      </c>
      <c r="AG103" s="550">
        <f t="shared" ca="1" si="46"/>
        <v>0</v>
      </c>
      <c r="AH103" s="551">
        <f t="shared" ca="1" si="47"/>
        <v>0.26319999999999999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5</v>
      </c>
      <c r="G104">
        <f t="shared" ca="1" si="30"/>
        <v>0</v>
      </c>
      <c r="H104">
        <f t="shared" ca="1" si="31"/>
        <v>0</v>
      </c>
      <c r="I104">
        <f t="shared" ca="1" si="32"/>
        <v>5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(Sem Código)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(Sem Código)</v>
      </c>
      <c r="AG104" s="550">
        <f t="shared" ca="1" si="46"/>
        <v>0</v>
      </c>
      <c r="AH104" s="551">
        <f t="shared" ca="1" si="47"/>
        <v>0.26319999999999999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5</v>
      </c>
      <c r="G105">
        <f t="shared" ca="1" si="30"/>
        <v>0</v>
      </c>
      <c r="H105">
        <f t="shared" ca="1" si="31"/>
        <v>0</v>
      </c>
      <c r="I105">
        <f t="shared" ca="1" si="32"/>
        <v>5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(Sem Código)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(Sem Código)</v>
      </c>
      <c r="AG105" s="550">
        <f t="shared" ca="1" si="46"/>
        <v>0</v>
      </c>
      <c r="AH105" s="551">
        <f t="shared" ca="1" si="47"/>
        <v>0.26319999999999999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5</v>
      </c>
      <c r="G106">
        <f t="shared" ca="1" si="30"/>
        <v>0</v>
      </c>
      <c r="H106">
        <f t="shared" ca="1" si="31"/>
        <v>0</v>
      </c>
      <c r="I106">
        <f t="shared" ca="1" si="32"/>
        <v>5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0.26319999999999999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5</v>
      </c>
      <c r="G107">
        <f t="shared" ca="1" si="30"/>
        <v>0</v>
      </c>
      <c r="H107">
        <f t="shared" ca="1" si="31"/>
        <v>0</v>
      </c>
      <c r="I107">
        <f t="shared" ca="1" si="32"/>
        <v>5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0.26319999999999999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5</v>
      </c>
      <c r="G108">
        <f t="shared" ca="1" si="30"/>
        <v>0</v>
      </c>
      <c r="H108">
        <f t="shared" ca="1" si="31"/>
        <v>0</v>
      </c>
      <c r="I108">
        <f t="shared" ca="1" si="32"/>
        <v>5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(Sem Código)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0.26319999999999999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5</v>
      </c>
      <c r="G109">
        <f t="shared" ca="1" si="30"/>
        <v>0</v>
      </c>
      <c r="H109">
        <f t="shared" ca="1" si="31"/>
        <v>0</v>
      </c>
      <c r="I109">
        <f t="shared" ca="1" si="32"/>
        <v>5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(Sem Código)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(Sem Código)</v>
      </c>
      <c r="AG109" s="550">
        <f t="shared" ca="1" si="46"/>
        <v>0</v>
      </c>
      <c r="AH109" s="551">
        <f t="shared" ca="1" si="47"/>
        <v>0.26319999999999999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5</v>
      </c>
      <c r="G110">
        <f t="shared" ca="1" si="30"/>
        <v>0</v>
      </c>
      <c r="H110">
        <f t="shared" ca="1" si="31"/>
        <v>0</v>
      </c>
      <c r="I110">
        <f t="shared" ca="1" si="32"/>
        <v>5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(Sem Código)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(Sem Código)</v>
      </c>
      <c r="AG110" s="550">
        <f t="shared" ca="1" si="46"/>
        <v>0</v>
      </c>
      <c r="AH110" s="551">
        <f t="shared" ca="1" si="47"/>
        <v>0.26319999999999999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5</v>
      </c>
      <c r="G111">
        <f t="shared" ca="1" si="30"/>
        <v>0</v>
      </c>
      <c r="H111">
        <f t="shared" ca="1" si="31"/>
        <v>0</v>
      </c>
      <c r="I111">
        <f t="shared" ca="1" si="32"/>
        <v>5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0.26319999999999999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5</v>
      </c>
      <c r="G112">
        <f t="shared" ca="1" si="30"/>
        <v>0</v>
      </c>
      <c r="H112">
        <f t="shared" ca="1" si="31"/>
        <v>0</v>
      </c>
      <c r="I112">
        <f t="shared" ca="1" si="32"/>
        <v>5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0.26319999999999999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5</v>
      </c>
      <c r="G113">
        <f t="shared" ca="1" si="30"/>
        <v>0</v>
      </c>
      <c r="H113">
        <f t="shared" ca="1" si="31"/>
        <v>0</v>
      </c>
      <c r="I113">
        <f t="shared" ca="1" si="32"/>
        <v>5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0.26319999999999999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5</v>
      </c>
      <c r="G114">
        <f t="shared" ca="1" si="30"/>
        <v>0</v>
      </c>
      <c r="H114">
        <f t="shared" ca="1" si="31"/>
        <v>0</v>
      </c>
      <c r="I114">
        <f t="shared" ca="1" si="32"/>
        <v>5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0.26319999999999999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5</v>
      </c>
      <c r="G115">
        <f t="shared" ca="1" si="30"/>
        <v>0</v>
      </c>
      <c r="H115">
        <f t="shared" ca="1" si="31"/>
        <v>0</v>
      </c>
      <c r="I115">
        <f t="shared" ca="1" si="32"/>
        <v>5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(Sem Código)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0.26319999999999999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5</v>
      </c>
      <c r="G116">
        <f t="shared" ca="1" si="30"/>
        <v>0</v>
      </c>
      <c r="H116">
        <f t="shared" ca="1" si="31"/>
        <v>0</v>
      </c>
      <c r="I116">
        <f t="shared" ca="1" si="32"/>
        <v>5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(Sem Código)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0.26319999999999999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5</v>
      </c>
      <c r="G117">
        <f t="shared" ca="1" si="30"/>
        <v>0</v>
      </c>
      <c r="H117">
        <f t="shared" ca="1" si="31"/>
        <v>0</v>
      </c>
      <c r="I117">
        <f t="shared" ca="1" si="32"/>
        <v>5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(Sem Código)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(Sem Código)</v>
      </c>
      <c r="AG117" s="550">
        <f t="shared" ca="1" si="46"/>
        <v>0</v>
      </c>
      <c r="AH117" s="551">
        <f t="shared" ca="1" si="47"/>
        <v>0.26319999999999999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5</v>
      </c>
      <c r="G118">
        <f t="shared" ca="1" si="30"/>
        <v>0</v>
      </c>
      <c r="H118">
        <f t="shared" ca="1" si="31"/>
        <v>0</v>
      </c>
      <c r="I118">
        <f t="shared" ca="1" si="32"/>
        <v>5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(Sem Código)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(Sem Código)</v>
      </c>
      <c r="AG118" s="550">
        <f t="shared" ca="1" si="46"/>
        <v>0</v>
      </c>
      <c r="AH118" s="551">
        <f t="shared" ca="1" si="47"/>
        <v>0.26319999999999999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5</v>
      </c>
      <c r="G119">
        <f t="shared" ca="1" si="30"/>
        <v>0</v>
      </c>
      <c r="H119">
        <f t="shared" ca="1" si="31"/>
        <v>0</v>
      </c>
      <c r="I119">
        <f t="shared" ca="1" si="32"/>
        <v>5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(Sem Código)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(Sem Código)</v>
      </c>
      <c r="AG119" s="550">
        <f t="shared" ca="1" si="46"/>
        <v>0</v>
      </c>
      <c r="AH119" s="551">
        <f t="shared" ca="1" si="47"/>
        <v>0.26319999999999999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5</v>
      </c>
      <c r="G120">
        <f t="shared" ca="1" si="30"/>
        <v>0</v>
      </c>
      <c r="H120">
        <f t="shared" ca="1" si="31"/>
        <v>0</v>
      </c>
      <c r="I120">
        <f t="shared" ca="1" si="32"/>
        <v>5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0.26319999999999999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5</v>
      </c>
      <c r="G121">
        <f t="shared" ca="1" si="30"/>
        <v>0</v>
      </c>
      <c r="H121">
        <f t="shared" ca="1" si="31"/>
        <v>0</v>
      </c>
      <c r="I121">
        <f t="shared" ca="1" si="32"/>
        <v>5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0.26319999999999999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5</v>
      </c>
      <c r="G122">
        <f t="shared" ca="1" si="30"/>
        <v>0</v>
      </c>
      <c r="H122">
        <f t="shared" ca="1" si="31"/>
        <v>0</v>
      </c>
      <c r="I122">
        <f t="shared" ca="1" si="32"/>
        <v>5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0.26319999999999999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5</v>
      </c>
      <c r="G123">
        <f t="shared" ca="1" si="30"/>
        <v>0</v>
      </c>
      <c r="H123">
        <f t="shared" ca="1" si="31"/>
        <v>0</v>
      </c>
      <c r="I123">
        <f t="shared" ca="1" si="32"/>
        <v>5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0.26319999999999999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5</v>
      </c>
      <c r="G124">
        <f t="shared" ca="1" si="30"/>
        <v>0</v>
      </c>
      <c r="H124">
        <f t="shared" ca="1" si="31"/>
        <v>0</v>
      </c>
      <c r="I124">
        <f t="shared" ca="1" si="32"/>
        <v>5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0.26319999999999999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5</v>
      </c>
      <c r="G125">
        <f t="shared" ca="1" si="30"/>
        <v>0</v>
      </c>
      <c r="H125">
        <f t="shared" ca="1" si="31"/>
        <v>0</v>
      </c>
      <c r="I125">
        <f t="shared" ca="1" si="32"/>
        <v>5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0.26319999999999999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5</v>
      </c>
      <c r="G126">
        <f t="shared" ca="1" si="30"/>
        <v>0</v>
      </c>
      <c r="H126">
        <f t="shared" ca="1" si="31"/>
        <v>0</v>
      </c>
      <c r="I126">
        <f t="shared" ca="1" si="32"/>
        <v>5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0.26319999999999999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5</v>
      </c>
      <c r="G127">
        <f t="shared" ca="1" si="30"/>
        <v>0</v>
      </c>
      <c r="H127">
        <f t="shared" ca="1" si="31"/>
        <v>0</v>
      </c>
      <c r="I127">
        <f t="shared" ca="1" si="32"/>
        <v>5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(Sem Código)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0.26319999999999999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5</v>
      </c>
      <c r="G128">
        <f t="shared" ca="1" si="30"/>
        <v>0</v>
      </c>
      <c r="H128">
        <f t="shared" ca="1" si="31"/>
        <v>0</v>
      </c>
      <c r="I128">
        <f t="shared" ca="1" si="32"/>
        <v>5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(Sem Código)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(Sem Código)</v>
      </c>
      <c r="AG128" s="550">
        <f t="shared" ca="1" si="46"/>
        <v>0</v>
      </c>
      <c r="AH128" s="551">
        <f t="shared" ca="1" si="47"/>
        <v>0.26319999999999999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5</v>
      </c>
      <c r="G129">
        <f t="shared" ca="1" si="30"/>
        <v>0</v>
      </c>
      <c r="H129">
        <f t="shared" ca="1" si="31"/>
        <v>0</v>
      </c>
      <c r="I129">
        <f t="shared" ca="1" si="32"/>
        <v>5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(Sem Código)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(Sem Código)</v>
      </c>
      <c r="AG129" s="550">
        <f t="shared" ca="1" si="46"/>
        <v>0</v>
      </c>
      <c r="AH129" s="551">
        <f t="shared" ca="1" si="47"/>
        <v>0.26319999999999999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5</v>
      </c>
      <c r="G130">
        <f t="shared" ca="1" si="30"/>
        <v>0</v>
      </c>
      <c r="H130">
        <f t="shared" ca="1" si="31"/>
        <v>0</v>
      </c>
      <c r="I130">
        <f t="shared" ca="1" si="32"/>
        <v>5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(Sem Código)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(Sem Código)</v>
      </c>
      <c r="AG130" s="550">
        <f t="shared" ca="1" si="46"/>
        <v>0</v>
      </c>
      <c r="AH130" s="551">
        <f t="shared" ca="1" si="47"/>
        <v>0.26319999999999999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5</v>
      </c>
      <c r="G131">
        <f t="shared" ca="1" si="30"/>
        <v>0</v>
      </c>
      <c r="H131">
        <f t="shared" ca="1" si="31"/>
        <v>0</v>
      </c>
      <c r="I131">
        <f t="shared" ca="1" si="32"/>
        <v>5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0.26319999999999999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5</v>
      </c>
      <c r="G132">
        <f t="shared" ca="1" si="30"/>
        <v>0</v>
      </c>
      <c r="H132">
        <f t="shared" ca="1" si="31"/>
        <v>0</v>
      </c>
      <c r="I132">
        <f t="shared" ca="1" si="32"/>
        <v>5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0.26319999999999999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5</v>
      </c>
      <c r="G133">
        <f t="shared" ca="1" si="30"/>
        <v>0</v>
      </c>
      <c r="H133">
        <f t="shared" ca="1" si="31"/>
        <v>0</v>
      </c>
      <c r="I133">
        <f t="shared" ca="1" si="32"/>
        <v>5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0.26319999999999999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5</v>
      </c>
      <c r="G134">
        <f t="shared" ca="1" si="30"/>
        <v>0</v>
      </c>
      <c r="H134">
        <f t="shared" ca="1" si="31"/>
        <v>0</v>
      </c>
      <c r="I134">
        <f t="shared" ca="1" si="32"/>
        <v>5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0.26319999999999999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5</v>
      </c>
      <c r="G135">
        <f t="shared" ca="1" si="30"/>
        <v>0</v>
      </c>
      <c r="H135">
        <f t="shared" ca="1" si="31"/>
        <v>0</v>
      </c>
      <c r="I135">
        <f t="shared" ca="1" si="32"/>
        <v>5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0.26319999999999999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5</v>
      </c>
      <c r="G136">
        <f t="shared" ca="1" si="30"/>
        <v>0</v>
      </c>
      <c r="H136">
        <f t="shared" ca="1" si="31"/>
        <v>0</v>
      </c>
      <c r="I136">
        <f t="shared" ca="1" si="32"/>
        <v>5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(Sem Código)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0.26319999999999999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5</v>
      </c>
      <c r="G137">
        <f t="shared" ca="1" si="30"/>
        <v>0</v>
      </c>
      <c r="H137">
        <f t="shared" ca="1" si="31"/>
        <v>0</v>
      </c>
      <c r="I137">
        <f t="shared" ca="1" si="32"/>
        <v>5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(Sem Código)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(Sem Código)</v>
      </c>
      <c r="AG137" s="550">
        <f t="shared" ca="1" si="46"/>
        <v>0</v>
      </c>
      <c r="AH137" s="551">
        <f t="shared" ca="1" si="47"/>
        <v>0.26319999999999999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5</v>
      </c>
      <c r="G138">
        <f t="shared" ca="1" si="30"/>
        <v>0</v>
      </c>
      <c r="H138">
        <f t="shared" ca="1" si="31"/>
        <v>0</v>
      </c>
      <c r="I138">
        <f t="shared" ca="1" si="32"/>
        <v>5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(Sem Código)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(Sem Código)</v>
      </c>
      <c r="AG138" s="550">
        <f t="shared" ca="1" si="46"/>
        <v>0</v>
      </c>
      <c r="AH138" s="551">
        <f t="shared" ca="1" si="47"/>
        <v>0.26319999999999999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5</v>
      </c>
      <c r="G139">
        <f t="shared" ca="1" si="30"/>
        <v>0</v>
      </c>
      <c r="H139">
        <f t="shared" ca="1" si="31"/>
        <v>0</v>
      </c>
      <c r="I139">
        <f t="shared" ca="1" si="32"/>
        <v>5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(Sem Código)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(Sem Código)</v>
      </c>
      <c r="AG139" s="550">
        <f t="shared" ca="1" si="46"/>
        <v>0</v>
      </c>
      <c r="AH139" s="551">
        <f t="shared" ca="1" si="47"/>
        <v>0.26319999999999999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5</v>
      </c>
      <c r="G140">
        <f t="shared" ca="1" si="30"/>
        <v>0</v>
      </c>
      <c r="H140">
        <f t="shared" ca="1" si="31"/>
        <v>0</v>
      </c>
      <c r="I140">
        <f t="shared" ca="1" si="32"/>
        <v>5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(Sem Código)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(Sem Código)</v>
      </c>
      <c r="AG140" s="550">
        <f t="shared" ca="1" si="46"/>
        <v>0</v>
      </c>
      <c r="AH140" s="551">
        <f t="shared" ca="1" si="47"/>
        <v>0.26319999999999999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5</v>
      </c>
      <c r="G141">
        <f t="shared" ca="1" si="30"/>
        <v>0</v>
      </c>
      <c r="H141">
        <f t="shared" ca="1" si="31"/>
        <v>0</v>
      </c>
      <c r="I141">
        <f t="shared" ca="1" si="32"/>
        <v>5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0.26319999999999999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5</v>
      </c>
      <c r="G142">
        <f t="shared" ca="1" si="30"/>
        <v>0</v>
      </c>
      <c r="H142">
        <f t="shared" ca="1" si="31"/>
        <v>0</v>
      </c>
      <c r="I142">
        <f t="shared" ca="1" si="32"/>
        <v>5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0.26319999999999999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5</v>
      </c>
      <c r="G143">
        <f t="shared" ca="1" si="30"/>
        <v>0</v>
      </c>
      <c r="H143">
        <f t="shared" ca="1" si="31"/>
        <v>0</v>
      </c>
      <c r="I143">
        <f t="shared" ca="1" si="32"/>
        <v>5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0.26319999999999999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5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5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0.26319999999999999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5</v>
      </c>
      <c r="G145">
        <f t="shared" ca="1" si="55"/>
        <v>0</v>
      </c>
      <c r="H145">
        <f t="shared" ca="1" si="56"/>
        <v>0</v>
      </c>
      <c r="I145">
        <f t="shared" ca="1" si="57"/>
        <v>5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0.26319999999999999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5</v>
      </c>
      <c r="G146">
        <f t="shared" ca="1" si="55"/>
        <v>0</v>
      </c>
      <c r="H146">
        <f t="shared" ca="1" si="56"/>
        <v>0</v>
      </c>
      <c r="I146">
        <f t="shared" ca="1" si="57"/>
        <v>5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0.26319999999999999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5</v>
      </c>
      <c r="G147">
        <f t="shared" ca="1" si="55"/>
        <v>0</v>
      </c>
      <c r="H147">
        <f t="shared" ca="1" si="56"/>
        <v>0</v>
      </c>
      <c r="I147">
        <f t="shared" ca="1" si="57"/>
        <v>5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0.26319999999999999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5</v>
      </c>
      <c r="G148">
        <f t="shared" ca="1" si="55"/>
        <v>0</v>
      </c>
      <c r="H148">
        <f t="shared" ca="1" si="56"/>
        <v>0</v>
      </c>
      <c r="I148">
        <f t="shared" ca="1" si="57"/>
        <v>5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0.26319999999999999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5</v>
      </c>
      <c r="G149">
        <f t="shared" ca="1" si="55"/>
        <v>0</v>
      </c>
      <c r="H149">
        <f t="shared" ca="1" si="56"/>
        <v>0</v>
      </c>
      <c r="I149">
        <f t="shared" ca="1" si="57"/>
        <v>5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0.26319999999999999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5</v>
      </c>
      <c r="G150">
        <f t="shared" ca="1" si="55"/>
        <v>0</v>
      </c>
      <c r="H150">
        <f t="shared" ca="1" si="56"/>
        <v>0</v>
      </c>
      <c r="I150">
        <f t="shared" ca="1" si="57"/>
        <v>5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0.26319999999999999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5</v>
      </c>
      <c r="G151">
        <f t="shared" ca="1" si="55"/>
        <v>0</v>
      </c>
      <c r="H151">
        <f t="shared" ca="1" si="56"/>
        <v>0</v>
      </c>
      <c r="I151">
        <f t="shared" ca="1" si="57"/>
        <v>5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0.26319999999999999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5</v>
      </c>
      <c r="G152">
        <f t="shared" ca="1" si="55"/>
        <v>0</v>
      </c>
      <c r="H152">
        <f t="shared" ca="1" si="56"/>
        <v>0</v>
      </c>
      <c r="I152">
        <f t="shared" ca="1" si="57"/>
        <v>5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0.26319999999999999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5</v>
      </c>
      <c r="G153">
        <f t="shared" ca="1" si="55"/>
        <v>0</v>
      </c>
      <c r="H153">
        <f t="shared" ca="1" si="56"/>
        <v>0</v>
      </c>
      <c r="I153">
        <f t="shared" ca="1" si="57"/>
        <v>5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0.26319999999999999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5</v>
      </c>
      <c r="G154">
        <f t="shared" ca="1" si="55"/>
        <v>0</v>
      </c>
      <c r="H154">
        <f t="shared" ca="1" si="56"/>
        <v>0</v>
      </c>
      <c r="I154">
        <f t="shared" ca="1" si="57"/>
        <v>5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0.26319999999999999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5</v>
      </c>
      <c r="G155">
        <f t="shared" ca="1" si="55"/>
        <v>0</v>
      </c>
      <c r="H155">
        <f t="shared" ca="1" si="56"/>
        <v>0</v>
      </c>
      <c r="I155">
        <f t="shared" ca="1" si="57"/>
        <v>5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0.26319999999999999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5</v>
      </c>
      <c r="G156">
        <f t="shared" ca="1" si="55"/>
        <v>0</v>
      </c>
      <c r="H156">
        <f t="shared" ca="1" si="56"/>
        <v>0</v>
      </c>
      <c r="I156">
        <f t="shared" ca="1" si="57"/>
        <v>5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0.26319999999999999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5</v>
      </c>
      <c r="G157">
        <f t="shared" ca="1" si="55"/>
        <v>0</v>
      </c>
      <c r="H157">
        <f t="shared" ca="1" si="56"/>
        <v>0</v>
      </c>
      <c r="I157">
        <f t="shared" ca="1" si="57"/>
        <v>5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0.26319999999999999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5</v>
      </c>
      <c r="G158">
        <f t="shared" ca="1" si="55"/>
        <v>0</v>
      </c>
      <c r="H158">
        <f t="shared" ca="1" si="56"/>
        <v>0</v>
      </c>
      <c r="I158">
        <f t="shared" ca="1" si="57"/>
        <v>5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0.26319999999999999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5</v>
      </c>
      <c r="G159">
        <f t="shared" ca="1" si="55"/>
        <v>0</v>
      </c>
      <c r="H159">
        <f t="shared" ca="1" si="56"/>
        <v>0</v>
      </c>
      <c r="I159">
        <f t="shared" ca="1" si="57"/>
        <v>5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0.26319999999999999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5</v>
      </c>
      <c r="G160">
        <f t="shared" ca="1" si="55"/>
        <v>0</v>
      </c>
      <c r="H160">
        <f t="shared" ca="1" si="56"/>
        <v>0</v>
      </c>
      <c r="I160">
        <f t="shared" ca="1" si="57"/>
        <v>5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0.26319999999999999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5</v>
      </c>
      <c r="G161">
        <f t="shared" ca="1" si="55"/>
        <v>0</v>
      </c>
      <c r="H161">
        <f t="shared" ca="1" si="56"/>
        <v>0</v>
      </c>
      <c r="I161">
        <f t="shared" ca="1" si="57"/>
        <v>5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0.26319999999999999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5</v>
      </c>
      <c r="G162">
        <f t="shared" ca="1" si="55"/>
        <v>0</v>
      </c>
      <c r="H162">
        <f t="shared" ca="1" si="56"/>
        <v>0</v>
      </c>
      <c r="I162">
        <f t="shared" ca="1" si="57"/>
        <v>5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0.26319999999999999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5</v>
      </c>
      <c r="G163">
        <f t="shared" ca="1" si="55"/>
        <v>0</v>
      </c>
      <c r="H163">
        <f t="shared" ca="1" si="56"/>
        <v>0</v>
      </c>
      <c r="I163">
        <f t="shared" ca="1" si="57"/>
        <v>5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0.26319999999999999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5</v>
      </c>
      <c r="G164">
        <f t="shared" ca="1" si="55"/>
        <v>0</v>
      </c>
      <c r="H164">
        <f t="shared" ca="1" si="56"/>
        <v>0</v>
      </c>
      <c r="I164">
        <f t="shared" ca="1" si="57"/>
        <v>5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0.26319999999999999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5</v>
      </c>
      <c r="G165">
        <f t="shared" ca="1" si="55"/>
        <v>0</v>
      </c>
      <c r="H165">
        <f t="shared" ca="1" si="56"/>
        <v>0</v>
      </c>
      <c r="I165">
        <f t="shared" ca="1" si="57"/>
        <v>5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0.26319999999999999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5</v>
      </c>
      <c r="G166">
        <f t="shared" ca="1" si="55"/>
        <v>0</v>
      </c>
      <c r="H166">
        <f t="shared" ca="1" si="56"/>
        <v>0</v>
      </c>
      <c r="I166">
        <f t="shared" ca="1" si="57"/>
        <v>5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0.26319999999999999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5</v>
      </c>
      <c r="G167">
        <f t="shared" ca="1" si="55"/>
        <v>0</v>
      </c>
      <c r="H167">
        <f t="shared" ca="1" si="56"/>
        <v>0</v>
      </c>
      <c r="I167">
        <f t="shared" ca="1" si="57"/>
        <v>5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0.26319999999999999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5</v>
      </c>
      <c r="G168">
        <f t="shared" ca="1" si="55"/>
        <v>0</v>
      </c>
      <c r="H168">
        <f t="shared" ca="1" si="56"/>
        <v>0</v>
      </c>
      <c r="I168">
        <f t="shared" ca="1" si="57"/>
        <v>5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0.26319999999999999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5</v>
      </c>
      <c r="G169">
        <f t="shared" ca="1" si="55"/>
        <v>0</v>
      </c>
      <c r="H169">
        <f t="shared" ca="1" si="56"/>
        <v>0</v>
      </c>
      <c r="I169">
        <f t="shared" ca="1" si="57"/>
        <v>5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0.26319999999999999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5</v>
      </c>
      <c r="G170">
        <f t="shared" ca="1" si="55"/>
        <v>0</v>
      </c>
      <c r="H170">
        <f t="shared" ca="1" si="56"/>
        <v>0</v>
      </c>
      <c r="I170">
        <f t="shared" ca="1" si="57"/>
        <v>5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0.26319999999999999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5</v>
      </c>
      <c r="G171">
        <f t="shared" ca="1" si="55"/>
        <v>0</v>
      </c>
      <c r="H171">
        <f t="shared" ca="1" si="56"/>
        <v>0</v>
      </c>
      <c r="I171">
        <f t="shared" ca="1" si="57"/>
        <v>5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0.26319999999999999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5</v>
      </c>
      <c r="G172">
        <f t="shared" ca="1" si="55"/>
        <v>0</v>
      </c>
      <c r="H172">
        <f t="shared" ca="1" si="56"/>
        <v>0</v>
      </c>
      <c r="I172">
        <f t="shared" ca="1" si="57"/>
        <v>5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0.26319999999999999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5</v>
      </c>
      <c r="G173">
        <f t="shared" ca="1" si="55"/>
        <v>0</v>
      </c>
      <c r="H173">
        <f t="shared" ca="1" si="56"/>
        <v>0</v>
      </c>
      <c r="I173">
        <f t="shared" ca="1" si="57"/>
        <v>5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0.26319999999999999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5</v>
      </c>
      <c r="G174">
        <f t="shared" ca="1" si="55"/>
        <v>0</v>
      </c>
      <c r="H174">
        <f t="shared" ca="1" si="56"/>
        <v>0</v>
      </c>
      <c r="I174">
        <f t="shared" ca="1" si="57"/>
        <v>5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0.26319999999999999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5</v>
      </c>
      <c r="G175">
        <f t="shared" ca="1" si="55"/>
        <v>0</v>
      </c>
      <c r="H175">
        <f t="shared" ca="1" si="56"/>
        <v>0</v>
      </c>
      <c r="I175">
        <f t="shared" ca="1" si="57"/>
        <v>5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0.26319999999999999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5</v>
      </c>
      <c r="G176">
        <f t="shared" ca="1" si="55"/>
        <v>0</v>
      </c>
      <c r="H176">
        <f t="shared" ca="1" si="56"/>
        <v>0</v>
      </c>
      <c r="I176">
        <f t="shared" ca="1" si="57"/>
        <v>5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0.26319999999999999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5</v>
      </c>
      <c r="G177">
        <f t="shared" ca="1" si="55"/>
        <v>0</v>
      </c>
      <c r="H177">
        <f t="shared" ca="1" si="56"/>
        <v>0</v>
      </c>
      <c r="I177">
        <f t="shared" ca="1" si="57"/>
        <v>5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0.26319999999999999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5</v>
      </c>
      <c r="G178">
        <f t="shared" ca="1" si="55"/>
        <v>0</v>
      </c>
      <c r="H178">
        <f t="shared" ca="1" si="56"/>
        <v>0</v>
      </c>
      <c r="I178">
        <f t="shared" ca="1" si="57"/>
        <v>5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0.26319999999999999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5</v>
      </c>
      <c r="G179">
        <f t="shared" ca="1" si="55"/>
        <v>0</v>
      </c>
      <c r="H179">
        <f t="shared" ca="1" si="56"/>
        <v>0</v>
      </c>
      <c r="I179">
        <f t="shared" ca="1" si="57"/>
        <v>5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0.26319999999999999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5</v>
      </c>
      <c r="G180">
        <f t="shared" ca="1" si="55"/>
        <v>0</v>
      </c>
      <c r="H180">
        <f t="shared" ca="1" si="56"/>
        <v>0</v>
      </c>
      <c r="I180">
        <f t="shared" ca="1" si="57"/>
        <v>5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0.26319999999999999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5</v>
      </c>
      <c r="G181">
        <f t="shared" ca="1" si="55"/>
        <v>0</v>
      </c>
      <c r="H181">
        <f t="shared" ca="1" si="56"/>
        <v>0</v>
      </c>
      <c r="I181">
        <f t="shared" ca="1" si="57"/>
        <v>5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0.26319999999999999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5</v>
      </c>
      <c r="G182">
        <f t="shared" ca="1" si="55"/>
        <v>0</v>
      </c>
      <c r="H182">
        <f t="shared" ca="1" si="56"/>
        <v>0</v>
      </c>
      <c r="I182">
        <f t="shared" ca="1" si="57"/>
        <v>5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0.26319999999999999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5</v>
      </c>
      <c r="G183">
        <f t="shared" ca="1" si="55"/>
        <v>0</v>
      </c>
      <c r="H183">
        <f t="shared" ca="1" si="56"/>
        <v>0</v>
      </c>
      <c r="I183">
        <f t="shared" ca="1" si="57"/>
        <v>5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0.26319999999999999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5</v>
      </c>
      <c r="G184">
        <f t="shared" ca="1" si="55"/>
        <v>0</v>
      </c>
      <c r="H184">
        <f t="shared" ca="1" si="56"/>
        <v>0</v>
      </c>
      <c r="I184">
        <f t="shared" ca="1" si="57"/>
        <v>5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0.26319999999999999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5</v>
      </c>
      <c r="G185">
        <f t="shared" ca="1" si="55"/>
        <v>0</v>
      </c>
      <c r="H185">
        <f t="shared" ca="1" si="56"/>
        <v>0</v>
      </c>
      <c r="I185">
        <f t="shared" ca="1" si="57"/>
        <v>5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0.26319999999999999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5</v>
      </c>
      <c r="G186">
        <f t="shared" ca="1" si="55"/>
        <v>0</v>
      </c>
      <c r="H186">
        <f t="shared" ca="1" si="56"/>
        <v>0</v>
      </c>
      <c r="I186">
        <f t="shared" ca="1" si="57"/>
        <v>5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0.26319999999999999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5</v>
      </c>
      <c r="G187">
        <f t="shared" ca="1" si="55"/>
        <v>0</v>
      </c>
      <c r="H187">
        <f t="shared" ca="1" si="56"/>
        <v>0</v>
      </c>
      <c r="I187">
        <f t="shared" ca="1" si="57"/>
        <v>5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0.26319999999999999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5</v>
      </c>
      <c r="G188">
        <f t="shared" ca="1" si="55"/>
        <v>0</v>
      </c>
      <c r="H188">
        <f t="shared" ca="1" si="56"/>
        <v>0</v>
      </c>
      <c r="I188">
        <f t="shared" ca="1" si="57"/>
        <v>5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0.26319999999999999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5</v>
      </c>
      <c r="G189">
        <f t="shared" ca="1" si="55"/>
        <v>0</v>
      </c>
      <c r="H189">
        <f t="shared" ca="1" si="56"/>
        <v>0</v>
      </c>
      <c r="I189">
        <f t="shared" ca="1" si="57"/>
        <v>5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0.26319999999999999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5</v>
      </c>
      <c r="G190">
        <f t="shared" ca="1" si="55"/>
        <v>0</v>
      </c>
      <c r="H190">
        <f t="shared" ca="1" si="56"/>
        <v>0</v>
      </c>
      <c r="I190">
        <f t="shared" ca="1" si="57"/>
        <v>5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0.26319999999999999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5</v>
      </c>
      <c r="G191">
        <f t="shared" ca="1" si="55"/>
        <v>0</v>
      </c>
      <c r="H191">
        <f t="shared" ca="1" si="56"/>
        <v>0</v>
      </c>
      <c r="I191">
        <f t="shared" ca="1" si="57"/>
        <v>5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0.26319999999999999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5</v>
      </c>
      <c r="G192">
        <f t="shared" ca="1" si="55"/>
        <v>0</v>
      </c>
      <c r="H192">
        <f t="shared" ca="1" si="56"/>
        <v>0</v>
      </c>
      <c r="I192">
        <f t="shared" ca="1" si="57"/>
        <v>5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0.26319999999999999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5</v>
      </c>
      <c r="G193">
        <f t="shared" ca="1" si="55"/>
        <v>0</v>
      </c>
      <c r="H193">
        <f t="shared" ca="1" si="56"/>
        <v>0</v>
      </c>
      <c r="I193">
        <f t="shared" ca="1" si="57"/>
        <v>5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0.26319999999999999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5</v>
      </c>
      <c r="G194">
        <f t="shared" ca="1" si="55"/>
        <v>0</v>
      </c>
      <c r="H194">
        <f t="shared" ca="1" si="56"/>
        <v>0</v>
      </c>
      <c r="I194">
        <f t="shared" ca="1" si="57"/>
        <v>5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0.26319999999999999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5</v>
      </c>
      <c r="G195">
        <f t="shared" ca="1" si="55"/>
        <v>0</v>
      </c>
      <c r="H195">
        <f t="shared" ca="1" si="56"/>
        <v>0</v>
      </c>
      <c r="I195">
        <f t="shared" ca="1" si="57"/>
        <v>5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0.26319999999999999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5</v>
      </c>
      <c r="G196">
        <f t="shared" ca="1" si="55"/>
        <v>0</v>
      </c>
      <c r="H196">
        <f t="shared" ca="1" si="56"/>
        <v>0</v>
      </c>
      <c r="I196">
        <f t="shared" ca="1" si="57"/>
        <v>5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0.26319999999999999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5</v>
      </c>
      <c r="G197">
        <f t="shared" ca="1" si="55"/>
        <v>0</v>
      </c>
      <c r="H197">
        <f t="shared" ca="1" si="56"/>
        <v>0</v>
      </c>
      <c r="I197">
        <f t="shared" ca="1" si="57"/>
        <v>5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0.26319999999999999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5</v>
      </c>
      <c r="G198">
        <f t="shared" ca="1" si="55"/>
        <v>0</v>
      </c>
      <c r="H198">
        <f t="shared" ca="1" si="56"/>
        <v>0</v>
      </c>
      <c r="I198">
        <f t="shared" ca="1" si="57"/>
        <v>5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0.26319999999999999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5</v>
      </c>
      <c r="G199">
        <f t="shared" ca="1" si="55"/>
        <v>0</v>
      </c>
      <c r="H199">
        <f t="shared" ca="1" si="56"/>
        <v>0</v>
      </c>
      <c r="I199">
        <f t="shared" ca="1" si="57"/>
        <v>5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0.26319999999999999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5</v>
      </c>
      <c r="G200">
        <f t="shared" ca="1" si="55"/>
        <v>0</v>
      </c>
      <c r="H200">
        <f t="shared" ca="1" si="56"/>
        <v>0</v>
      </c>
      <c r="I200">
        <f t="shared" ca="1" si="57"/>
        <v>5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0.26319999999999999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5</v>
      </c>
      <c r="G201">
        <f t="shared" ca="1" si="55"/>
        <v>0</v>
      </c>
      <c r="H201">
        <f t="shared" ca="1" si="56"/>
        <v>0</v>
      </c>
      <c r="I201">
        <f t="shared" ca="1" si="57"/>
        <v>5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0.26319999999999999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5</v>
      </c>
      <c r="G202">
        <f t="shared" ca="1" si="55"/>
        <v>0</v>
      </c>
      <c r="H202">
        <f t="shared" ca="1" si="56"/>
        <v>0</v>
      </c>
      <c r="I202">
        <f t="shared" ca="1" si="57"/>
        <v>5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0.26319999999999999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5</v>
      </c>
      <c r="G203">
        <f t="shared" ca="1" si="55"/>
        <v>0</v>
      </c>
      <c r="H203">
        <f t="shared" ca="1" si="56"/>
        <v>0</v>
      </c>
      <c r="I203">
        <f t="shared" ca="1" si="57"/>
        <v>5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0.26319999999999999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5</v>
      </c>
      <c r="G204">
        <f t="shared" ca="1" si="55"/>
        <v>0</v>
      </c>
      <c r="H204">
        <f t="shared" ca="1" si="56"/>
        <v>0</v>
      </c>
      <c r="I204">
        <f t="shared" ca="1" si="57"/>
        <v>5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0.26319999999999999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5</v>
      </c>
      <c r="G205">
        <f t="shared" ca="1" si="55"/>
        <v>0</v>
      </c>
      <c r="H205">
        <f t="shared" ca="1" si="56"/>
        <v>0</v>
      </c>
      <c r="I205">
        <f t="shared" ca="1" si="57"/>
        <v>5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0.26319999999999999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5</v>
      </c>
      <c r="G206">
        <f t="shared" ca="1" si="55"/>
        <v>0</v>
      </c>
      <c r="H206">
        <f t="shared" ca="1" si="56"/>
        <v>0</v>
      </c>
      <c r="I206">
        <f t="shared" ca="1" si="57"/>
        <v>5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0.26319999999999999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5</v>
      </c>
      <c r="G207">
        <f t="shared" ca="1" si="55"/>
        <v>0</v>
      </c>
      <c r="H207">
        <f t="shared" ca="1" si="56"/>
        <v>0</v>
      </c>
      <c r="I207">
        <f t="shared" ca="1" si="57"/>
        <v>5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0.26319999999999999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5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5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0.26319999999999999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5</v>
      </c>
      <c r="G209">
        <f t="shared" ca="1" si="80"/>
        <v>0</v>
      </c>
      <c r="H209">
        <f t="shared" ca="1" si="81"/>
        <v>0</v>
      </c>
      <c r="I209">
        <f t="shared" ca="1" si="82"/>
        <v>5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0.26319999999999999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5</v>
      </c>
      <c r="G210">
        <f t="shared" ca="1" si="80"/>
        <v>0</v>
      </c>
      <c r="H210">
        <f t="shared" ca="1" si="81"/>
        <v>0</v>
      </c>
      <c r="I210">
        <f t="shared" ca="1" si="82"/>
        <v>5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0.26319999999999999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5</v>
      </c>
      <c r="G211">
        <f t="shared" ca="1" si="80"/>
        <v>0</v>
      </c>
      <c r="H211">
        <f t="shared" ca="1" si="81"/>
        <v>0</v>
      </c>
      <c r="I211">
        <f t="shared" ca="1" si="82"/>
        <v>5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0.26319999999999999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5</v>
      </c>
      <c r="G212">
        <f t="shared" ca="1" si="80"/>
        <v>0</v>
      </c>
      <c r="H212">
        <f t="shared" ca="1" si="81"/>
        <v>0</v>
      </c>
      <c r="I212">
        <f t="shared" ca="1" si="82"/>
        <v>5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0.26319999999999999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5</v>
      </c>
      <c r="G213">
        <f t="shared" ca="1" si="80"/>
        <v>0</v>
      </c>
      <c r="H213">
        <f t="shared" ca="1" si="81"/>
        <v>0</v>
      </c>
      <c r="I213">
        <f t="shared" ca="1" si="82"/>
        <v>5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0.26319999999999999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5</v>
      </c>
      <c r="G214">
        <f t="shared" ca="1" si="80"/>
        <v>0</v>
      </c>
      <c r="H214">
        <f t="shared" ca="1" si="81"/>
        <v>0</v>
      </c>
      <c r="I214">
        <f t="shared" ca="1" si="82"/>
        <v>5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0.26319999999999999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5</v>
      </c>
      <c r="G215">
        <f t="shared" ca="1" si="80"/>
        <v>0</v>
      </c>
      <c r="H215">
        <f t="shared" ca="1" si="81"/>
        <v>0</v>
      </c>
      <c r="I215">
        <f t="shared" ca="1" si="82"/>
        <v>5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0.26319999999999999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5</v>
      </c>
      <c r="G216">
        <f t="shared" ca="1" si="80"/>
        <v>0</v>
      </c>
      <c r="H216">
        <f t="shared" ca="1" si="81"/>
        <v>0</v>
      </c>
      <c r="I216">
        <f t="shared" ca="1" si="82"/>
        <v>5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0.26319999999999999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5</v>
      </c>
      <c r="G217">
        <f t="shared" ca="1" si="80"/>
        <v>0</v>
      </c>
      <c r="H217">
        <f t="shared" ca="1" si="81"/>
        <v>0</v>
      </c>
      <c r="I217">
        <f t="shared" ca="1" si="82"/>
        <v>5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0.26319999999999999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5</v>
      </c>
      <c r="G218">
        <f t="shared" ca="1" si="80"/>
        <v>0</v>
      </c>
      <c r="H218">
        <f t="shared" ca="1" si="81"/>
        <v>0</v>
      </c>
      <c r="I218">
        <f t="shared" ca="1" si="82"/>
        <v>5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0.26319999999999999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5</v>
      </c>
      <c r="G219">
        <f t="shared" ca="1" si="80"/>
        <v>0</v>
      </c>
      <c r="H219">
        <f t="shared" ca="1" si="81"/>
        <v>0</v>
      </c>
      <c r="I219">
        <f t="shared" ca="1" si="82"/>
        <v>5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0.26319999999999999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5</v>
      </c>
      <c r="G220">
        <f t="shared" ca="1" si="80"/>
        <v>0</v>
      </c>
      <c r="H220">
        <f t="shared" ca="1" si="81"/>
        <v>0</v>
      </c>
      <c r="I220">
        <f t="shared" ca="1" si="82"/>
        <v>5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0.26319999999999999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5</v>
      </c>
      <c r="G221">
        <f t="shared" ca="1" si="80"/>
        <v>0</v>
      </c>
      <c r="H221">
        <f t="shared" ca="1" si="81"/>
        <v>0</v>
      </c>
      <c r="I221">
        <f t="shared" ca="1" si="82"/>
        <v>5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0.26319999999999999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5</v>
      </c>
      <c r="G222">
        <f t="shared" ca="1" si="80"/>
        <v>0</v>
      </c>
      <c r="H222">
        <f t="shared" ca="1" si="81"/>
        <v>0</v>
      </c>
      <c r="I222">
        <f t="shared" ca="1" si="82"/>
        <v>5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0.26319999999999999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5</v>
      </c>
      <c r="G223">
        <f t="shared" ca="1" si="80"/>
        <v>0</v>
      </c>
      <c r="H223">
        <f t="shared" ca="1" si="81"/>
        <v>0</v>
      </c>
      <c r="I223">
        <f t="shared" ca="1" si="82"/>
        <v>5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0.26319999999999999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5</v>
      </c>
      <c r="G224">
        <f t="shared" ca="1" si="80"/>
        <v>0</v>
      </c>
      <c r="H224">
        <f t="shared" ca="1" si="81"/>
        <v>0</v>
      </c>
      <c r="I224">
        <f t="shared" ca="1" si="82"/>
        <v>5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0.26319999999999999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5</v>
      </c>
      <c r="G225">
        <f t="shared" ca="1" si="80"/>
        <v>0</v>
      </c>
      <c r="H225">
        <f t="shared" ca="1" si="81"/>
        <v>0</v>
      </c>
      <c r="I225">
        <f t="shared" ca="1" si="82"/>
        <v>5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0.26319999999999999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5</v>
      </c>
      <c r="G226">
        <f t="shared" ca="1" si="80"/>
        <v>0</v>
      </c>
      <c r="H226">
        <f t="shared" ca="1" si="81"/>
        <v>0</v>
      </c>
      <c r="I226">
        <f t="shared" ca="1" si="82"/>
        <v>5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0.26319999999999999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5</v>
      </c>
      <c r="G227">
        <f t="shared" ca="1" si="80"/>
        <v>0</v>
      </c>
      <c r="H227">
        <f t="shared" ca="1" si="81"/>
        <v>0</v>
      </c>
      <c r="I227">
        <f t="shared" ca="1" si="82"/>
        <v>5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0.26319999999999999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5</v>
      </c>
      <c r="G228">
        <f t="shared" ca="1" si="80"/>
        <v>0</v>
      </c>
      <c r="H228">
        <f t="shared" ca="1" si="81"/>
        <v>0</v>
      </c>
      <c r="I228">
        <f t="shared" ca="1" si="82"/>
        <v>5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0.26319999999999999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5</v>
      </c>
      <c r="G229">
        <f t="shared" ca="1" si="80"/>
        <v>0</v>
      </c>
      <c r="H229">
        <f t="shared" ca="1" si="81"/>
        <v>0</v>
      </c>
      <c r="I229">
        <f t="shared" ca="1" si="82"/>
        <v>5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0.26319999999999999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5</v>
      </c>
      <c r="G230">
        <f t="shared" ca="1" si="80"/>
        <v>0</v>
      </c>
      <c r="H230">
        <f t="shared" ca="1" si="81"/>
        <v>0</v>
      </c>
      <c r="I230">
        <f t="shared" ca="1" si="82"/>
        <v>5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0.26319999999999999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5</v>
      </c>
      <c r="G231">
        <f t="shared" ca="1" si="80"/>
        <v>0</v>
      </c>
      <c r="H231">
        <f t="shared" ca="1" si="81"/>
        <v>0</v>
      </c>
      <c r="I231">
        <f t="shared" ca="1" si="82"/>
        <v>5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0.26319999999999999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5</v>
      </c>
      <c r="G232">
        <f t="shared" ca="1" si="80"/>
        <v>0</v>
      </c>
      <c r="H232">
        <f t="shared" ca="1" si="81"/>
        <v>0</v>
      </c>
      <c r="I232">
        <f t="shared" ca="1" si="82"/>
        <v>5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0.26319999999999999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5</v>
      </c>
      <c r="G233">
        <f t="shared" ca="1" si="80"/>
        <v>0</v>
      </c>
      <c r="H233">
        <f t="shared" ca="1" si="81"/>
        <v>0</v>
      </c>
      <c r="I233">
        <f t="shared" ca="1" si="82"/>
        <v>5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0.26319999999999999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5</v>
      </c>
      <c r="G234">
        <f t="shared" ca="1" si="80"/>
        <v>0</v>
      </c>
      <c r="H234">
        <f t="shared" ca="1" si="81"/>
        <v>0</v>
      </c>
      <c r="I234">
        <f t="shared" ca="1" si="82"/>
        <v>5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0.26319999999999999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5</v>
      </c>
      <c r="G235">
        <f t="shared" ca="1" si="80"/>
        <v>0</v>
      </c>
      <c r="H235">
        <f t="shared" ca="1" si="81"/>
        <v>0</v>
      </c>
      <c r="I235">
        <f t="shared" ca="1" si="82"/>
        <v>5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0.26319999999999999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5</v>
      </c>
      <c r="G236">
        <f t="shared" ca="1" si="80"/>
        <v>0</v>
      </c>
      <c r="H236">
        <f t="shared" ca="1" si="81"/>
        <v>0</v>
      </c>
      <c r="I236">
        <f t="shared" ca="1" si="82"/>
        <v>5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0.26319999999999999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5</v>
      </c>
      <c r="G237">
        <f t="shared" ca="1" si="80"/>
        <v>0</v>
      </c>
      <c r="H237">
        <f t="shared" ca="1" si="81"/>
        <v>0</v>
      </c>
      <c r="I237">
        <f t="shared" ca="1" si="82"/>
        <v>5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0.26319999999999999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5</v>
      </c>
      <c r="G238">
        <f t="shared" ca="1" si="80"/>
        <v>0</v>
      </c>
      <c r="H238">
        <f t="shared" ca="1" si="81"/>
        <v>0</v>
      </c>
      <c r="I238">
        <f t="shared" ca="1" si="82"/>
        <v>5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0.26319999999999999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5</v>
      </c>
      <c r="G239">
        <f t="shared" ca="1" si="80"/>
        <v>0</v>
      </c>
      <c r="H239">
        <f t="shared" ca="1" si="81"/>
        <v>0</v>
      </c>
      <c r="I239">
        <f t="shared" ca="1" si="82"/>
        <v>5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0.26319999999999999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5</v>
      </c>
      <c r="G240">
        <f t="shared" ca="1" si="80"/>
        <v>0</v>
      </c>
      <c r="H240">
        <f t="shared" ca="1" si="81"/>
        <v>0</v>
      </c>
      <c r="I240">
        <f t="shared" ca="1" si="82"/>
        <v>5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0.26319999999999999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5</v>
      </c>
      <c r="G241">
        <f t="shared" ca="1" si="80"/>
        <v>0</v>
      </c>
      <c r="H241">
        <f t="shared" ca="1" si="81"/>
        <v>0</v>
      </c>
      <c r="I241">
        <f t="shared" ca="1" si="82"/>
        <v>5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0.26319999999999999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5</v>
      </c>
      <c r="G242">
        <f t="shared" ca="1" si="80"/>
        <v>0</v>
      </c>
      <c r="H242">
        <f t="shared" ca="1" si="81"/>
        <v>0</v>
      </c>
      <c r="I242">
        <f t="shared" ca="1" si="82"/>
        <v>5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0.26319999999999999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5</v>
      </c>
      <c r="G243">
        <f t="shared" ca="1" si="80"/>
        <v>0</v>
      </c>
      <c r="H243">
        <f t="shared" ca="1" si="81"/>
        <v>0</v>
      </c>
      <c r="I243">
        <f t="shared" ca="1" si="82"/>
        <v>5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0.26319999999999999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5</v>
      </c>
      <c r="G244">
        <f t="shared" ca="1" si="80"/>
        <v>0</v>
      </c>
      <c r="H244">
        <f t="shared" ca="1" si="81"/>
        <v>0</v>
      </c>
      <c r="I244">
        <f t="shared" ca="1" si="82"/>
        <v>5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0.26319999999999999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5</v>
      </c>
      <c r="G245">
        <f t="shared" ca="1" si="80"/>
        <v>0</v>
      </c>
      <c r="H245">
        <f t="shared" ca="1" si="81"/>
        <v>0</v>
      </c>
      <c r="I245">
        <f t="shared" ca="1" si="82"/>
        <v>5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0.26319999999999999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5</v>
      </c>
      <c r="G246">
        <f t="shared" ca="1" si="80"/>
        <v>0</v>
      </c>
      <c r="H246">
        <f t="shared" ca="1" si="81"/>
        <v>0</v>
      </c>
      <c r="I246">
        <f t="shared" ca="1" si="82"/>
        <v>5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0.26319999999999999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5</v>
      </c>
      <c r="G247">
        <f t="shared" ca="1" si="80"/>
        <v>0</v>
      </c>
      <c r="H247">
        <f t="shared" ca="1" si="81"/>
        <v>0</v>
      </c>
      <c r="I247">
        <f t="shared" ca="1" si="82"/>
        <v>5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0.26319999999999999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5</v>
      </c>
      <c r="G248">
        <f t="shared" ca="1" si="80"/>
        <v>0</v>
      </c>
      <c r="H248">
        <f t="shared" ca="1" si="81"/>
        <v>0</v>
      </c>
      <c r="I248">
        <f t="shared" ca="1" si="82"/>
        <v>5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0.26319999999999999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5</v>
      </c>
      <c r="G249">
        <f t="shared" ca="1" si="80"/>
        <v>0</v>
      </c>
      <c r="H249">
        <f t="shared" ca="1" si="81"/>
        <v>0</v>
      </c>
      <c r="I249">
        <f t="shared" ca="1" si="82"/>
        <v>5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0.26319999999999999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5</v>
      </c>
      <c r="G250">
        <f t="shared" ca="1" si="80"/>
        <v>0</v>
      </c>
      <c r="H250">
        <f t="shared" ca="1" si="81"/>
        <v>0</v>
      </c>
      <c r="I250">
        <f t="shared" ca="1" si="82"/>
        <v>5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0.26319999999999999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5</v>
      </c>
      <c r="G251">
        <f t="shared" ca="1" si="80"/>
        <v>0</v>
      </c>
      <c r="H251">
        <f t="shared" ca="1" si="81"/>
        <v>0</v>
      </c>
      <c r="I251">
        <f t="shared" ca="1" si="82"/>
        <v>5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0.26319999999999999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5</v>
      </c>
      <c r="G252">
        <f t="shared" ca="1" si="80"/>
        <v>0</v>
      </c>
      <c r="H252">
        <f t="shared" ca="1" si="81"/>
        <v>0</v>
      </c>
      <c r="I252">
        <f t="shared" ca="1" si="82"/>
        <v>5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0.26319999999999999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5</v>
      </c>
      <c r="G253">
        <f t="shared" ca="1" si="80"/>
        <v>0</v>
      </c>
      <c r="H253">
        <f t="shared" ca="1" si="81"/>
        <v>0</v>
      </c>
      <c r="I253">
        <f t="shared" ca="1" si="82"/>
        <v>5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0.26319999999999999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5</v>
      </c>
      <c r="G254">
        <f t="shared" ca="1" si="80"/>
        <v>0</v>
      </c>
      <c r="H254">
        <f t="shared" ca="1" si="81"/>
        <v>0</v>
      </c>
      <c r="I254">
        <f t="shared" ca="1" si="82"/>
        <v>5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0.26319999999999999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5</v>
      </c>
      <c r="G255">
        <f t="shared" ca="1" si="80"/>
        <v>0</v>
      </c>
      <c r="H255">
        <f t="shared" ca="1" si="81"/>
        <v>0</v>
      </c>
      <c r="I255">
        <f t="shared" ca="1" si="82"/>
        <v>5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0.26319999999999999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5</v>
      </c>
      <c r="G256">
        <f t="shared" ca="1" si="80"/>
        <v>0</v>
      </c>
      <c r="H256">
        <f t="shared" ca="1" si="81"/>
        <v>0</v>
      </c>
      <c r="I256">
        <f t="shared" ca="1" si="82"/>
        <v>5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0.26319999999999999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5</v>
      </c>
      <c r="G257">
        <f t="shared" ca="1" si="80"/>
        <v>0</v>
      </c>
      <c r="H257">
        <f t="shared" ca="1" si="81"/>
        <v>0</v>
      </c>
      <c r="I257">
        <f t="shared" ca="1" si="82"/>
        <v>5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0.26319999999999999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5</v>
      </c>
      <c r="G258">
        <f t="shared" ca="1" si="80"/>
        <v>0</v>
      </c>
      <c r="H258">
        <f t="shared" ca="1" si="81"/>
        <v>0</v>
      </c>
      <c r="I258">
        <f t="shared" ca="1" si="82"/>
        <v>5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0.26319999999999999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5</v>
      </c>
      <c r="G259">
        <f t="shared" ca="1" si="80"/>
        <v>0</v>
      </c>
      <c r="H259">
        <f t="shared" ca="1" si="81"/>
        <v>0</v>
      </c>
      <c r="I259">
        <f t="shared" ca="1" si="82"/>
        <v>5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0.26319999999999999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5</v>
      </c>
      <c r="G260">
        <f t="shared" ca="1" si="80"/>
        <v>0</v>
      </c>
      <c r="H260">
        <f t="shared" ca="1" si="81"/>
        <v>0</v>
      </c>
      <c r="I260">
        <f t="shared" ca="1" si="82"/>
        <v>5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0.26319999999999999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5</v>
      </c>
      <c r="G261">
        <f t="shared" ca="1" si="80"/>
        <v>0</v>
      </c>
      <c r="H261">
        <f t="shared" ca="1" si="81"/>
        <v>0</v>
      </c>
      <c r="I261">
        <f t="shared" ca="1" si="82"/>
        <v>5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0.26319999999999999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5</v>
      </c>
      <c r="G262">
        <f t="shared" ca="1" si="80"/>
        <v>0</v>
      </c>
      <c r="H262">
        <f t="shared" ca="1" si="81"/>
        <v>0</v>
      </c>
      <c r="I262">
        <f t="shared" ca="1" si="82"/>
        <v>5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0.26319999999999999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5</v>
      </c>
      <c r="G263">
        <f t="shared" ca="1" si="80"/>
        <v>0</v>
      </c>
      <c r="H263">
        <f t="shared" ca="1" si="81"/>
        <v>0</v>
      </c>
      <c r="I263">
        <f t="shared" ca="1" si="82"/>
        <v>5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0.26319999999999999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5</v>
      </c>
      <c r="G264">
        <f t="shared" ca="1" si="80"/>
        <v>0</v>
      </c>
      <c r="H264">
        <f t="shared" ca="1" si="81"/>
        <v>0</v>
      </c>
      <c r="I264">
        <f t="shared" ca="1" si="82"/>
        <v>5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0.26319999999999999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5</v>
      </c>
      <c r="G265">
        <f t="shared" ca="1" si="80"/>
        <v>0</v>
      </c>
      <c r="H265">
        <f t="shared" ca="1" si="81"/>
        <v>0</v>
      </c>
      <c r="I265">
        <f t="shared" ca="1" si="82"/>
        <v>5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0.26319999999999999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2" t="s">
        <v>248</v>
      </c>
      <c r="R269" s="702"/>
      <c r="S269" s="702"/>
      <c r="T269" s="702"/>
      <c r="U269" s="702"/>
      <c r="V269" s="702"/>
      <c r="W269" s="702"/>
      <c r="X269" s="702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3"/>
      <c r="P272" s="703"/>
      <c r="Q272" s="703"/>
      <c r="R272" s="703"/>
      <c r="S272" s="703"/>
      <c r="T272" s="703"/>
      <c r="U272" s="703"/>
      <c r="V272" s="703"/>
      <c r="W272" s="703"/>
      <c r="X272" s="703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3"/>
      <c r="P273" s="703"/>
      <c r="Q273" s="703"/>
      <c r="R273" s="703"/>
      <c r="S273" s="703"/>
      <c r="T273" s="703"/>
      <c r="U273" s="703"/>
      <c r="V273" s="703"/>
      <c r="W273" s="703"/>
      <c r="X273" s="703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3"/>
      <c r="P274" s="703"/>
      <c r="Q274" s="703"/>
      <c r="R274" s="703"/>
      <c r="S274" s="703"/>
      <c r="T274" s="703"/>
      <c r="U274" s="703"/>
      <c r="V274" s="703"/>
      <c r="W274" s="703"/>
      <c r="X274" s="703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4"/>
      <c r="Q276" s="704"/>
      <c r="R276" s="704"/>
      <c r="S276" s="704"/>
      <c r="T276" s="704"/>
      <c r="U276" s="704"/>
      <c r="V276" s="704"/>
      <c r="W276" s="704"/>
      <c r="X276" s="704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6" t="s">
        <v>249</v>
      </c>
      <c r="P277" s="706"/>
      <c r="Q277" s="706"/>
      <c r="R277" s="706"/>
      <c r="S277" s="706"/>
      <c r="T277" s="706"/>
      <c r="U277" s="706"/>
      <c r="V277" s="706"/>
      <c r="W277" s="706"/>
      <c r="X277" s="706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5" t="str">
        <f>Import.Município</f>
        <v>CÉU AZUL</v>
      </c>
      <c r="P279" s="705"/>
      <c r="Q279" s="705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GUSTAVO FRANCESCHINI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0">
        <f ca="1">DADOS!$F$25</f>
        <v>44134</v>
      </c>
      <c r="P282" s="700"/>
      <c r="Q282" s="700"/>
      <c r="R282" s="105"/>
      <c r="S282" s="95" t="s">
        <v>108</v>
      </c>
      <c r="T282" s="96" t="str">
        <v>126178/D - PR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 t="str">
        <v>1720204868649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algorithmName="SHA-512" hashValue="X4qX8D2JPKA9+3GtBORM2ZC7SeqDMeSkygaQrEXE9QhR4KLnlhwyKsWhbAvnz6jMP90SyDpEfnKuZEvKx/PNyg==" saltValue="euZfm8qYklbld6puICde9g==" spinCount="100000"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40" type="noConversion"/>
  <conditionalFormatting sqref="M14">
    <cfRule type="cellIs" dxfId="1200" priority="7302" stopIfTrue="1" operator="notEqual">
      <formula>$N14</formula>
    </cfRule>
  </conditionalFormatting>
  <conditionalFormatting sqref="N14:O14 R14 W14:X14">
    <cfRule type="expression" dxfId="1199" priority="7303" stopIfTrue="1">
      <formula>$C14=1</formula>
    </cfRule>
    <cfRule type="expression" dxfId="1198" priority="7304" stopIfTrue="1">
      <formula>OR($C14=0,$C14=2,$C14=3,$C14=4)</formula>
    </cfRule>
  </conditionalFormatting>
  <conditionalFormatting sqref="U14:V14">
    <cfRule type="expression" dxfId="1197" priority="7305" stopIfTrue="1">
      <formula>$C14=1</formula>
    </cfRule>
    <cfRule type="expression" dxfId="1196" priority="7306" stopIfTrue="1">
      <formula>OR($C14=0,$C14=2,$C14=3,$C14=4)</formula>
    </cfRule>
    <cfRule type="expression" dxfId="1195" priority="7307" stopIfTrue="1">
      <formula>AND(TIPOORCAMENTO="Licitado",$C14&lt;&gt;"L",$C14&lt;&gt;-1)</formula>
    </cfRule>
  </conditionalFormatting>
  <conditionalFormatting sqref="P14:Q14 S14:T14 Y14 AG14:AH14">
    <cfRule type="expression" dxfId="1194" priority="7308" stopIfTrue="1">
      <formula>$C14=1</formula>
    </cfRule>
    <cfRule type="expression" dxfId="1193" priority="7309" stopIfTrue="1">
      <formula>OR($C14=0,$C14=2,$C14=3,$C14=4)</formula>
    </cfRule>
  </conditionalFormatting>
  <conditionalFormatting sqref="AJ7:AJ15 AJ266">
    <cfRule type="expression" dxfId="1192" priority="7310" stopIfTrue="1">
      <formula>OR(ACOMPANHAMENTO&lt;&gt;"BM",TIPOORCAMENTO="Licitado")</formula>
    </cfRule>
    <cfRule type="expression" dxfId="1191" priority="7311" stopIfTrue="1">
      <formula>$C7=1</formula>
    </cfRule>
    <cfRule type="expression" dxfId="1190" priority="7312" stopIfTrue="1">
      <formula>OR(AND(ISNUMBER($C7),$C7=0),$C7=2,$C7=3,$C7=4)</formula>
    </cfRule>
  </conditionalFormatting>
  <conditionalFormatting sqref="AL7:AL15 AL266">
    <cfRule type="expression" dxfId="1189" priority="7313" stopIfTrue="1">
      <formula>TIPOORCAMENTO="PROPOSTO"</formula>
    </cfRule>
    <cfRule type="expression" dxfId="1188" priority="7314" stopIfTrue="1">
      <formula>$C7=1</formula>
    </cfRule>
    <cfRule type="expression" dxfId="1187" priority="7315" stopIfTrue="1">
      <formula>OR(AND(ISNUMBER($C7),$C7=0),$C7=2,$C7=3,$C7=4)</formula>
    </cfRule>
  </conditionalFormatting>
  <conditionalFormatting sqref="O8:P8">
    <cfRule type="expression" dxfId="1186" priority="7319" stopIfTrue="1">
      <formula>ISERROR(INDIRECT($F$9))</formula>
    </cfRule>
  </conditionalFormatting>
  <conditionalFormatting sqref="S7:V8">
    <cfRule type="expression" dxfId="1185" priority="7320" stopIfTrue="1">
      <formula>TIPOORCAMENTO="Proposto"</formula>
    </cfRule>
  </conditionalFormatting>
  <conditionalFormatting sqref="S9:V9">
    <cfRule type="expression" dxfId="1184" priority="7267" stopIfTrue="1">
      <formula>TIPOORCAMENTO="Proposto"</formula>
    </cfRule>
  </conditionalFormatting>
  <conditionalFormatting sqref="AM7:AN15 AM266:AN266">
    <cfRule type="expression" dxfId="1183" priority="7316" stopIfTrue="1">
      <formula>TIPOORCAMENTO="PROPOSTO"</formula>
    </cfRule>
    <cfRule type="expression" dxfId="1182" priority="7317" stopIfTrue="1">
      <formula>$C7=1</formula>
    </cfRule>
    <cfRule type="expression" dxfId="1181" priority="7318" stopIfTrue="1">
      <formula>OR(AND(ISNUMBER($C7),$C7=0),$C7=2,$C7=3,$C7=4)</formula>
    </cfRule>
  </conditionalFormatting>
  <conditionalFormatting sqref="M16:M24">
    <cfRule type="cellIs" dxfId="1180" priority="460" stopIfTrue="1" operator="notEqual">
      <formula>$N16</formula>
    </cfRule>
  </conditionalFormatting>
  <conditionalFormatting sqref="N16:O24 R16:R24 W16:X24">
    <cfRule type="expression" dxfId="1179" priority="461" stopIfTrue="1">
      <formula>$C16=1</formula>
    </cfRule>
    <cfRule type="expression" dxfId="1178" priority="462" stopIfTrue="1">
      <formula>OR($C16=0,$C16=2,$C16=3,$C16=4)</formula>
    </cfRule>
  </conditionalFormatting>
  <conditionalFormatting sqref="U16:V24">
    <cfRule type="expression" dxfId="1177" priority="463" stopIfTrue="1">
      <formula>$C16=1</formula>
    </cfRule>
    <cfRule type="expression" dxfId="1176" priority="464" stopIfTrue="1">
      <formula>OR($C16=0,$C16=2,$C16=3,$C16=4)</formula>
    </cfRule>
    <cfRule type="expression" dxfId="1175" priority="465" stopIfTrue="1">
      <formula>AND(TIPOORCAMENTO="Licitado",$C16&lt;&gt;"L",$C16&lt;&gt;-1)</formula>
    </cfRule>
  </conditionalFormatting>
  <conditionalFormatting sqref="P16:Q24 S16:T24 Y16:Y24 AG16:AH24">
    <cfRule type="expression" dxfId="1174" priority="466" stopIfTrue="1">
      <formula>$C16=1</formula>
    </cfRule>
    <cfRule type="expression" dxfId="1173" priority="467" stopIfTrue="1">
      <formula>OR($C16=0,$C16=2,$C16=3,$C16=4)</formula>
    </cfRule>
  </conditionalFormatting>
  <conditionalFormatting sqref="AJ16:AJ24">
    <cfRule type="expression" dxfId="1172" priority="468" stopIfTrue="1">
      <formula>OR(ACOMPANHAMENTO&lt;&gt;"BM",TIPOORCAMENTO="Licitado")</formula>
    </cfRule>
    <cfRule type="expression" dxfId="1171" priority="469" stopIfTrue="1">
      <formula>$C16=1</formula>
    </cfRule>
    <cfRule type="expression" dxfId="1170" priority="470" stopIfTrue="1">
      <formula>OR(AND(ISNUMBER($C16),$C16=0),$C16=2,$C16=3,$C16=4)</formula>
    </cfRule>
  </conditionalFormatting>
  <conditionalFormatting sqref="AL16:AL24">
    <cfRule type="expression" dxfId="1169" priority="471" stopIfTrue="1">
      <formula>TIPOORCAMENTO="PROPOSTO"</formula>
    </cfRule>
    <cfRule type="expression" dxfId="1168" priority="472" stopIfTrue="1">
      <formula>$C16=1</formula>
    </cfRule>
    <cfRule type="expression" dxfId="1167" priority="473" stopIfTrue="1">
      <formula>OR(AND(ISNUMBER($C16),$C16=0),$C16=2,$C16=3,$C16=4)</formula>
    </cfRule>
  </conditionalFormatting>
  <conditionalFormatting sqref="AM16:AN24">
    <cfRule type="expression" dxfId="1166" priority="474" stopIfTrue="1">
      <formula>TIPOORCAMENTO="PROPOSTO"</formula>
    </cfRule>
    <cfRule type="expression" dxfId="1165" priority="475" stopIfTrue="1">
      <formula>$C16=1</formula>
    </cfRule>
    <cfRule type="expression" dxfId="1164" priority="476" stopIfTrue="1">
      <formula>OR(AND(ISNUMBER($C16),$C16=0),$C16=2,$C16=3,$C16=4)</formula>
    </cfRule>
  </conditionalFormatting>
  <conditionalFormatting sqref="M25:M33">
    <cfRule type="cellIs" dxfId="1163" priority="443" stopIfTrue="1" operator="notEqual">
      <formula>$N25</formula>
    </cfRule>
  </conditionalFormatting>
  <conditionalFormatting sqref="N25:O33 R25:R33 W25:X33">
    <cfRule type="expression" dxfId="1162" priority="444" stopIfTrue="1">
      <formula>$C25=1</formula>
    </cfRule>
    <cfRule type="expression" dxfId="1161" priority="445" stopIfTrue="1">
      <formula>OR($C25=0,$C25=2,$C25=3,$C25=4)</formula>
    </cfRule>
  </conditionalFormatting>
  <conditionalFormatting sqref="U25:V33">
    <cfRule type="expression" dxfId="1160" priority="446" stopIfTrue="1">
      <formula>$C25=1</formula>
    </cfRule>
    <cfRule type="expression" dxfId="1159" priority="447" stopIfTrue="1">
      <formula>OR($C25=0,$C25=2,$C25=3,$C25=4)</formula>
    </cfRule>
    <cfRule type="expression" dxfId="1158" priority="448" stopIfTrue="1">
      <formula>AND(TIPOORCAMENTO="Licitado",$C25&lt;&gt;"L",$C25&lt;&gt;-1)</formula>
    </cfRule>
  </conditionalFormatting>
  <conditionalFormatting sqref="P25:Q33 S25:T33 Y25:Y33 AG25:AH33">
    <cfRule type="expression" dxfId="1157" priority="449" stopIfTrue="1">
      <formula>$C25=1</formula>
    </cfRule>
    <cfRule type="expression" dxfId="1156" priority="450" stopIfTrue="1">
      <formula>OR($C25=0,$C25=2,$C25=3,$C25=4)</formula>
    </cfRule>
  </conditionalFormatting>
  <conditionalFormatting sqref="AJ25:AJ33">
    <cfRule type="expression" dxfId="1155" priority="451" stopIfTrue="1">
      <formula>OR(ACOMPANHAMENTO&lt;&gt;"BM",TIPOORCAMENTO="Licitado")</formula>
    </cfRule>
    <cfRule type="expression" dxfId="1154" priority="452" stopIfTrue="1">
      <formula>$C25=1</formula>
    </cfRule>
    <cfRule type="expression" dxfId="1153" priority="453" stopIfTrue="1">
      <formula>OR(AND(ISNUMBER($C25),$C25=0),$C25=2,$C25=3,$C25=4)</formula>
    </cfRule>
  </conditionalFormatting>
  <conditionalFormatting sqref="AL25:AL33">
    <cfRule type="expression" dxfId="1152" priority="454" stopIfTrue="1">
      <formula>TIPOORCAMENTO="PROPOSTO"</formula>
    </cfRule>
    <cfRule type="expression" dxfId="1151" priority="455" stopIfTrue="1">
      <formula>$C25=1</formula>
    </cfRule>
    <cfRule type="expression" dxfId="1150" priority="456" stopIfTrue="1">
      <formula>OR(AND(ISNUMBER($C25),$C25=0),$C25=2,$C25=3,$C25=4)</formula>
    </cfRule>
  </conditionalFormatting>
  <conditionalFormatting sqref="AM25:AN33">
    <cfRule type="expression" dxfId="1149" priority="457" stopIfTrue="1">
      <formula>TIPOORCAMENTO="PROPOSTO"</formula>
    </cfRule>
    <cfRule type="expression" dxfId="1148" priority="458" stopIfTrue="1">
      <formula>$C25=1</formula>
    </cfRule>
    <cfRule type="expression" dxfId="1147" priority="459" stopIfTrue="1">
      <formula>OR(AND(ISNUMBER($C25),$C25=0),$C25=2,$C25=3,$C25=4)</formula>
    </cfRule>
  </conditionalFormatting>
  <conditionalFormatting sqref="M34:M42">
    <cfRule type="cellIs" dxfId="1146" priority="426" stopIfTrue="1" operator="notEqual">
      <formula>$N34</formula>
    </cfRule>
  </conditionalFormatting>
  <conditionalFormatting sqref="N34:O42 W34:X42 R34:R42">
    <cfRule type="expression" dxfId="1145" priority="427" stopIfTrue="1">
      <formula>$C34=1</formula>
    </cfRule>
    <cfRule type="expression" dxfId="1144" priority="428" stopIfTrue="1">
      <formula>OR($C34=0,$C34=2,$C34=3,$C34=4)</formula>
    </cfRule>
  </conditionalFormatting>
  <conditionalFormatting sqref="U34:V42">
    <cfRule type="expression" dxfId="1143" priority="429" stopIfTrue="1">
      <formula>$C34=1</formula>
    </cfRule>
    <cfRule type="expression" dxfId="1142" priority="430" stopIfTrue="1">
      <formula>OR($C34=0,$C34=2,$C34=3,$C34=4)</formula>
    </cfRule>
    <cfRule type="expression" dxfId="1141" priority="431" stopIfTrue="1">
      <formula>AND(TIPOORCAMENTO="Licitado",$C34&lt;&gt;"L",$C34&lt;&gt;-1)</formula>
    </cfRule>
  </conditionalFormatting>
  <conditionalFormatting sqref="P34:Q42 S34:T42 Y34:Y42 AG34:AH42">
    <cfRule type="expression" dxfId="1140" priority="432" stopIfTrue="1">
      <formula>$C34=1</formula>
    </cfRule>
    <cfRule type="expression" dxfId="1139" priority="433" stopIfTrue="1">
      <formula>OR($C34=0,$C34=2,$C34=3,$C34=4)</formula>
    </cfRule>
  </conditionalFormatting>
  <conditionalFormatting sqref="AJ34:AJ42">
    <cfRule type="expression" dxfId="1138" priority="434" stopIfTrue="1">
      <formula>OR(ACOMPANHAMENTO&lt;&gt;"BM",TIPOORCAMENTO="Licitado")</formula>
    </cfRule>
    <cfRule type="expression" dxfId="1137" priority="435" stopIfTrue="1">
      <formula>$C34=1</formula>
    </cfRule>
    <cfRule type="expression" dxfId="1136" priority="436" stopIfTrue="1">
      <formula>OR(AND(ISNUMBER($C34),$C34=0),$C34=2,$C34=3,$C34=4)</formula>
    </cfRule>
  </conditionalFormatting>
  <conditionalFormatting sqref="AL34:AL42">
    <cfRule type="expression" dxfId="1135" priority="437" stopIfTrue="1">
      <formula>TIPOORCAMENTO="PROPOSTO"</formula>
    </cfRule>
    <cfRule type="expression" dxfId="1134" priority="438" stopIfTrue="1">
      <formula>$C34=1</formula>
    </cfRule>
    <cfRule type="expression" dxfId="1133" priority="439" stopIfTrue="1">
      <formula>OR(AND(ISNUMBER($C34),$C34=0),$C34=2,$C34=3,$C34=4)</formula>
    </cfRule>
  </conditionalFormatting>
  <conditionalFormatting sqref="AM34:AN42">
    <cfRule type="expression" dxfId="1132" priority="440" stopIfTrue="1">
      <formula>TIPOORCAMENTO="PROPOSTO"</formula>
    </cfRule>
    <cfRule type="expression" dxfId="1131" priority="441" stopIfTrue="1">
      <formula>$C34=1</formula>
    </cfRule>
    <cfRule type="expression" dxfId="1130" priority="442" stopIfTrue="1">
      <formula>OR(AND(ISNUMBER($C34),$C34=0),$C34=2,$C34=3,$C34=4)</formula>
    </cfRule>
  </conditionalFormatting>
  <conditionalFormatting sqref="M43:M51">
    <cfRule type="cellIs" dxfId="1129" priority="409" stopIfTrue="1" operator="notEqual">
      <formula>$N43</formula>
    </cfRule>
  </conditionalFormatting>
  <conditionalFormatting sqref="N43:O51 R43:R51 W43:X51">
    <cfRule type="expression" dxfId="1128" priority="410" stopIfTrue="1">
      <formula>$C43=1</formula>
    </cfRule>
    <cfRule type="expression" dxfId="1127" priority="411" stopIfTrue="1">
      <formula>OR($C43=0,$C43=2,$C43=3,$C43=4)</formula>
    </cfRule>
  </conditionalFormatting>
  <conditionalFormatting sqref="U43:V51">
    <cfRule type="expression" dxfId="1126" priority="412" stopIfTrue="1">
      <formula>$C43=1</formula>
    </cfRule>
    <cfRule type="expression" dxfId="1125" priority="413" stopIfTrue="1">
      <formula>OR($C43=0,$C43=2,$C43=3,$C43=4)</formula>
    </cfRule>
    <cfRule type="expression" dxfId="1124" priority="414" stopIfTrue="1">
      <formula>AND(TIPOORCAMENTO="Licitado",$C43&lt;&gt;"L",$C43&lt;&gt;-1)</formula>
    </cfRule>
  </conditionalFormatting>
  <conditionalFormatting sqref="P43:Q51 S43:T51 Y43:Y51 AG43:AH51">
    <cfRule type="expression" dxfId="1123" priority="415" stopIfTrue="1">
      <formula>$C43=1</formula>
    </cfRule>
    <cfRule type="expression" dxfId="1122" priority="416" stopIfTrue="1">
      <formula>OR($C43=0,$C43=2,$C43=3,$C43=4)</formula>
    </cfRule>
  </conditionalFormatting>
  <conditionalFormatting sqref="AJ43:AJ51">
    <cfRule type="expression" dxfId="1121" priority="417" stopIfTrue="1">
      <formula>OR(ACOMPANHAMENTO&lt;&gt;"BM",TIPOORCAMENTO="Licitado")</formula>
    </cfRule>
    <cfRule type="expression" dxfId="1120" priority="418" stopIfTrue="1">
      <formula>$C43=1</formula>
    </cfRule>
    <cfRule type="expression" dxfId="1119" priority="419" stopIfTrue="1">
      <formula>OR(AND(ISNUMBER($C43),$C43=0),$C43=2,$C43=3,$C43=4)</formula>
    </cfRule>
  </conditionalFormatting>
  <conditionalFormatting sqref="AL43:AL51">
    <cfRule type="expression" dxfId="1118" priority="420" stopIfTrue="1">
      <formula>TIPOORCAMENTO="PROPOSTO"</formula>
    </cfRule>
    <cfRule type="expression" dxfId="1117" priority="421" stopIfTrue="1">
      <formula>$C43=1</formula>
    </cfRule>
    <cfRule type="expression" dxfId="1116" priority="422" stopIfTrue="1">
      <formula>OR(AND(ISNUMBER($C43),$C43=0),$C43=2,$C43=3,$C43=4)</formula>
    </cfRule>
  </conditionalFormatting>
  <conditionalFormatting sqref="AM43:AN51">
    <cfRule type="expression" dxfId="1115" priority="423" stopIfTrue="1">
      <formula>TIPOORCAMENTO="PROPOSTO"</formula>
    </cfRule>
    <cfRule type="expression" dxfId="1114" priority="424" stopIfTrue="1">
      <formula>$C43=1</formula>
    </cfRule>
    <cfRule type="expression" dxfId="1113" priority="425" stopIfTrue="1">
      <formula>OR(AND(ISNUMBER($C43),$C43=0),$C43=2,$C43=3,$C43=4)</formula>
    </cfRule>
  </conditionalFormatting>
  <conditionalFormatting sqref="M52:M60">
    <cfRule type="cellIs" dxfId="1112" priority="392" stopIfTrue="1" operator="notEqual">
      <formula>$N52</formula>
    </cfRule>
  </conditionalFormatting>
  <conditionalFormatting sqref="N52:O60 R52:R60 W52:X60">
    <cfRule type="expression" dxfId="1111" priority="393" stopIfTrue="1">
      <formula>$C52=1</formula>
    </cfRule>
    <cfRule type="expression" dxfId="1110" priority="394" stopIfTrue="1">
      <formula>OR($C52=0,$C52=2,$C52=3,$C52=4)</formula>
    </cfRule>
  </conditionalFormatting>
  <conditionalFormatting sqref="U52:V60">
    <cfRule type="expression" dxfId="1109" priority="395" stopIfTrue="1">
      <formula>$C52=1</formula>
    </cfRule>
    <cfRule type="expression" dxfId="1108" priority="396" stopIfTrue="1">
      <formula>OR($C52=0,$C52=2,$C52=3,$C52=4)</formula>
    </cfRule>
    <cfRule type="expression" dxfId="1107" priority="397" stopIfTrue="1">
      <formula>AND(TIPOORCAMENTO="Licitado",$C52&lt;&gt;"L",$C52&lt;&gt;-1)</formula>
    </cfRule>
  </conditionalFormatting>
  <conditionalFormatting sqref="P52:Q60 S52:T60 Y52:Y60 AG52:AH60">
    <cfRule type="expression" dxfId="1106" priority="398" stopIfTrue="1">
      <formula>$C52=1</formula>
    </cfRule>
    <cfRule type="expression" dxfId="1105" priority="399" stopIfTrue="1">
      <formula>OR($C52=0,$C52=2,$C52=3,$C52=4)</formula>
    </cfRule>
  </conditionalFormatting>
  <conditionalFormatting sqref="AJ52:AJ60">
    <cfRule type="expression" dxfId="1104" priority="400" stopIfTrue="1">
      <formula>OR(ACOMPANHAMENTO&lt;&gt;"BM",TIPOORCAMENTO="Licitado")</formula>
    </cfRule>
    <cfRule type="expression" dxfId="1103" priority="401" stopIfTrue="1">
      <formula>$C52=1</formula>
    </cfRule>
    <cfRule type="expression" dxfId="1102" priority="402" stopIfTrue="1">
      <formula>OR(AND(ISNUMBER($C52),$C52=0),$C52=2,$C52=3,$C52=4)</formula>
    </cfRule>
  </conditionalFormatting>
  <conditionalFormatting sqref="AL52:AL60">
    <cfRule type="expression" dxfId="1101" priority="403" stopIfTrue="1">
      <formula>TIPOORCAMENTO="PROPOSTO"</formula>
    </cfRule>
    <cfRule type="expression" dxfId="1100" priority="404" stopIfTrue="1">
      <formula>$C52=1</formula>
    </cfRule>
    <cfRule type="expression" dxfId="1099" priority="405" stopIfTrue="1">
      <formula>OR(AND(ISNUMBER($C52),$C52=0),$C52=2,$C52=3,$C52=4)</formula>
    </cfRule>
  </conditionalFormatting>
  <conditionalFormatting sqref="AM52:AN60">
    <cfRule type="expression" dxfId="1098" priority="406" stopIfTrue="1">
      <formula>TIPOORCAMENTO="PROPOSTO"</formula>
    </cfRule>
    <cfRule type="expression" dxfId="1097" priority="407" stopIfTrue="1">
      <formula>$C52=1</formula>
    </cfRule>
    <cfRule type="expression" dxfId="1096" priority="408" stopIfTrue="1">
      <formula>OR(AND(ISNUMBER($C52),$C52=0),$C52=2,$C52=3,$C52=4)</formula>
    </cfRule>
  </conditionalFormatting>
  <conditionalFormatting sqref="M61:M69">
    <cfRule type="cellIs" dxfId="1095" priority="375" stopIfTrue="1" operator="notEqual">
      <formula>$N61</formula>
    </cfRule>
  </conditionalFormatting>
  <conditionalFormatting sqref="N61:O69 R61:R69 W61:X69">
    <cfRule type="expression" dxfId="1094" priority="376" stopIfTrue="1">
      <formula>$C61=1</formula>
    </cfRule>
    <cfRule type="expression" dxfId="1093" priority="377" stopIfTrue="1">
      <formula>OR($C61=0,$C61=2,$C61=3,$C61=4)</formula>
    </cfRule>
  </conditionalFormatting>
  <conditionalFormatting sqref="U61:V69">
    <cfRule type="expression" dxfId="1092" priority="378" stopIfTrue="1">
      <formula>$C61=1</formula>
    </cfRule>
    <cfRule type="expression" dxfId="1091" priority="379" stopIfTrue="1">
      <formula>OR($C61=0,$C61=2,$C61=3,$C61=4)</formula>
    </cfRule>
    <cfRule type="expression" dxfId="1090" priority="380" stopIfTrue="1">
      <formula>AND(TIPOORCAMENTO="Licitado",$C61&lt;&gt;"L",$C61&lt;&gt;-1)</formula>
    </cfRule>
  </conditionalFormatting>
  <conditionalFormatting sqref="P61:Q69 S61:T69 Y61:Y69 AG61:AH69">
    <cfRule type="expression" dxfId="1089" priority="381" stopIfTrue="1">
      <formula>$C61=1</formula>
    </cfRule>
    <cfRule type="expression" dxfId="1088" priority="382" stopIfTrue="1">
      <formula>OR($C61=0,$C61=2,$C61=3,$C61=4)</formula>
    </cfRule>
  </conditionalFormatting>
  <conditionalFormatting sqref="AJ61:AJ69">
    <cfRule type="expression" dxfId="1087" priority="383" stopIfTrue="1">
      <formula>OR(ACOMPANHAMENTO&lt;&gt;"BM",TIPOORCAMENTO="Licitado")</formula>
    </cfRule>
    <cfRule type="expression" dxfId="1086" priority="384" stopIfTrue="1">
      <formula>$C61=1</formula>
    </cfRule>
    <cfRule type="expression" dxfId="1085" priority="385" stopIfTrue="1">
      <formula>OR(AND(ISNUMBER($C61),$C61=0),$C61=2,$C61=3,$C61=4)</formula>
    </cfRule>
  </conditionalFormatting>
  <conditionalFormatting sqref="AL61:AL69">
    <cfRule type="expression" dxfId="1084" priority="386" stopIfTrue="1">
      <formula>TIPOORCAMENTO="PROPOSTO"</formula>
    </cfRule>
    <cfRule type="expression" dxfId="1083" priority="387" stopIfTrue="1">
      <formula>$C61=1</formula>
    </cfRule>
    <cfRule type="expression" dxfId="1082" priority="388" stopIfTrue="1">
      <formula>OR(AND(ISNUMBER($C61),$C61=0),$C61=2,$C61=3,$C61=4)</formula>
    </cfRule>
  </conditionalFormatting>
  <conditionalFormatting sqref="AM61:AN69">
    <cfRule type="expression" dxfId="1081" priority="389" stopIfTrue="1">
      <formula>TIPOORCAMENTO="PROPOSTO"</formula>
    </cfRule>
    <cfRule type="expression" dxfId="1080" priority="390" stopIfTrue="1">
      <formula>$C61=1</formula>
    </cfRule>
    <cfRule type="expression" dxfId="1079" priority="391" stopIfTrue="1">
      <formula>OR(AND(ISNUMBER($C61),$C61=0),$C61=2,$C61=3,$C61=4)</formula>
    </cfRule>
  </conditionalFormatting>
  <conditionalFormatting sqref="M70:M78">
    <cfRule type="cellIs" dxfId="1078" priority="358" stopIfTrue="1" operator="notEqual">
      <formula>$N70</formula>
    </cfRule>
  </conditionalFormatting>
  <conditionalFormatting sqref="N70:O78 R70:R78 W70:X78">
    <cfRule type="expression" dxfId="1077" priority="359" stopIfTrue="1">
      <formula>$C70=1</formula>
    </cfRule>
    <cfRule type="expression" dxfId="1076" priority="360" stopIfTrue="1">
      <formula>OR($C70=0,$C70=2,$C70=3,$C70=4)</formula>
    </cfRule>
  </conditionalFormatting>
  <conditionalFormatting sqref="U70:V78">
    <cfRule type="expression" dxfId="1075" priority="361" stopIfTrue="1">
      <formula>$C70=1</formula>
    </cfRule>
    <cfRule type="expression" dxfId="1074" priority="362" stopIfTrue="1">
      <formula>OR($C70=0,$C70=2,$C70=3,$C70=4)</formula>
    </cfRule>
    <cfRule type="expression" dxfId="1073" priority="363" stopIfTrue="1">
      <formula>AND(TIPOORCAMENTO="Licitado",$C70&lt;&gt;"L",$C70&lt;&gt;-1)</formula>
    </cfRule>
  </conditionalFormatting>
  <conditionalFormatting sqref="P70:Q78 S70:T78 Y70:Y78 AG70:AH78">
    <cfRule type="expression" dxfId="1072" priority="364" stopIfTrue="1">
      <formula>$C70=1</formula>
    </cfRule>
    <cfRule type="expression" dxfId="1071" priority="365" stopIfTrue="1">
      <formula>OR($C70=0,$C70=2,$C70=3,$C70=4)</formula>
    </cfRule>
  </conditionalFormatting>
  <conditionalFormatting sqref="AJ70:AJ78">
    <cfRule type="expression" dxfId="1070" priority="366" stopIfTrue="1">
      <formula>OR(ACOMPANHAMENTO&lt;&gt;"BM",TIPOORCAMENTO="Licitado")</formula>
    </cfRule>
    <cfRule type="expression" dxfId="1069" priority="367" stopIfTrue="1">
      <formula>$C70=1</formula>
    </cfRule>
    <cfRule type="expression" dxfId="1068" priority="368" stopIfTrue="1">
      <formula>OR(AND(ISNUMBER($C70),$C70=0),$C70=2,$C70=3,$C70=4)</formula>
    </cfRule>
  </conditionalFormatting>
  <conditionalFormatting sqref="AL70:AL78">
    <cfRule type="expression" dxfId="1067" priority="369" stopIfTrue="1">
      <formula>TIPOORCAMENTO="PROPOSTO"</formula>
    </cfRule>
    <cfRule type="expression" dxfId="1066" priority="370" stopIfTrue="1">
      <formula>$C70=1</formula>
    </cfRule>
    <cfRule type="expression" dxfId="1065" priority="371" stopIfTrue="1">
      <formula>OR(AND(ISNUMBER($C70),$C70=0),$C70=2,$C70=3,$C70=4)</formula>
    </cfRule>
  </conditionalFormatting>
  <conditionalFormatting sqref="AM70:AN78">
    <cfRule type="expression" dxfId="1064" priority="372" stopIfTrue="1">
      <formula>TIPOORCAMENTO="PROPOSTO"</formula>
    </cfRule>
    <cfRule type="expression" dxfId="1063" priority="373" stopIfTrue="1">
      <formula>$C70=1</formula>
    </cfRule>
    <cfRule type="expression" dxfId="1062" priority="374" stopIfTrue="1">
      <formula>OR(AND(ISNUMBER($C70),$C70=0),$C70=2,$C70=3,$C70=4)</formula>
    </cfRule>
  </conditionalFormatting>
  <conditionalFormatting sqref="M79:M87">
    <cfRule type="cellIs" dxfId="1061" priority="341" stopIfTrue="1" operator="notEqual">
      <formula>$N79</formula>
    </cfRule>
  </conditionalFormatting>
  <conditionalFormatting sqref="N79:O87 R79:R87 W79:X87">
    <cfRule type="expression" dxfId="1060" priority="342" stopIfTrue="1">
      <formula>$C79=1</formula>
    </cfRule>
    <cfRule type="expression" dxfId="1059" priority="343" stopIfTrue="1">
      <formula>OR($C79=0,$C79=2,$C79=3,$C79=4)</formula>
    </cfRule>
  </conditionalFormatting>
  <conditionalFormatting sqref="U79:V87">
    <cfRule type="expression" dxfId="1058" priority="344" stopIfTrue="1">
      <formula>$C79=1</formula>
    </cfRule>
    <cfRule type="expression" dxfId="1057" priority="345" stopIfTrue="1">
      <formula>OR($C79=0,$C79=2,$C79=3,$C79=4)</formula>
    </cfRule>
    <cfRule type="expression" dxfId="1056" priority="346" stopIfTrue="1">
      <formula>AND(TIPOORCAMENTO="Licitado",$C79&lt;&gt;"L",$C79&lt;&gt;-1)</formula>
    </cfRule>
  </conditionalFormatting>
  <conditionalFormatting sqref="P79:Q87 S79:T87 Y79:Y87 AG79:AH87">
    <cfRule type="expression" dxfId="1055" priority="347" stopIfTrue="1">
      <formula>$C79=1</formula>
    </cfRule>
    <cfRule type="expression" dxfId="1054" priority="348" stopIfTrue="1">
      <formula>OR($C79=0,$C79=2,$C79=3,$C79=4)</formula>
    </cfRule>
  </conditionalFormatting>
  <conditionalFormatting sqref="AJ79:AJ87">
    <cfRule type="expression" dxfId="1053" priority="349" stopIfTrue="1">
      <formula>OR(ACOMPANHAMENTO&lt;&gt;"BM",TIPOORCAMENTO="Licitado")</formula>
    </cfRule>
    <cfRule type="expression" dxfId="1052" priority="350" stopIfTrue="1">
      <formula>$C79=1</formula>
    </cfRule>
    <cfRule type="expression" dxfId="1051" priority="351" stopIfTrue="1">
      <formula>OR(AND(ISNUMBER($C79),$C79=0),$C79=2,$C79=3,$C79=4)</formula>
    </cfRule>
  </conditionalFormatting>
  <conditionalFormatting sqref="AL79:AL87">
    <cfRule type="expression" dxfId="1050" priority="352" stopIfTrue="1">
      <formula>TIPOORCAMENTO="PROPOSTO"</formula>
    </cfRule>
    <cfRule type="expression" dxfId="1049" priority="353" stopIfTrue="1">
      <formula>$C79=1</formula>
    </cfRule>
    <cfRule type="expression" dxfId="1048" priority="354" stopIfTrue="1">
      <formula>OR(AND(ISNUMBER($C79),$C79=0),$C79=2,$C79=3,$C79=4)</formula>
    </cfRule>
  </conditionalFormatting>
  <conditionalFormatting sqref="AM79:AN87">
    <cfRule type="expression" dxfId="1047" priority="355" stopIfTrue="1">
      <formula>TIPOORCAMENTO="PROPOSTO"</formula>
    </cfRule>
    <cfRule type="expression" dxfId="1046" priority="356" stopIfTrue="1">
      <formula>$C79=1</formula>
    </cfRule>
    <cfRule type="expression" dxfId="1045" priority="357" stopIfTrue="1">
      <formula>OR(AND(ISNUMBER($C79),$C79=0),$C79=2,$C79=3,$C79=4)</formula>
    </cfRule>
  </conditionalFormatting>
  <conditionalFormatting sqref="M88:M96">
    <cfRule type="cellIs" dxfId="1044" priority="324" stopIfTrue="1" operator="notEqual">
      <formula>$N88</formula>
    </cfRule>
  </conditionalFormatting>
  <conditionalFormatting sqref="N88:O96 R88:R96 W88:X96">
    <cfRule type="expression" dxfId="1043" priority="325" stopIfTrue="1">
      <formula>$C88=1</formula>
    </cfRule>
    <cfRule type="expression" dxfId="1042" priority="326" stopIfTrue="1">
      <formula>OR($C88=0,$C88=2,$C88=3,$C88=4)</formula>
    </cfRule>
  </conditionalFormatting>
  <conditionalFormatting sqref="U88:V96">
    <cfRule type="expression" dxfId="1041" priority="327" stopIfTrue="1">
      <formula>$C88=1</formula>
    </cfRule>
    <cfRule type="expression" dxfId="1040" priority="328" stopIfTrue="1">
      <formula>OR($C88=0,$C88=2,$C88=3,$C88=4)</formula>
    </cfRule>
    <cfRule type="expression" dxfId="1039" priority="329" stopIfTrue="1">
      <formula>AND(TIPOORCAMENTO="Licitado",$C88&lt;&gt;"L",$C88&lt;&gt;-1)</formula>
    </cfRule>
  </conditionalFormatting>
  <conditionalFormatting sqref="P88:Q96 S88:T96 Y88:Y96 AG88:AH96">
    <cfRule type="expression" dxfId="1038" priority="330" stopIfTrue="1">
      <formula>$C88=1</formula>
    </cfRule>
    <cfRule type="expression" dxfId="1037" priority="331" stopIfTrue="1">
      <formula>OR($C88=0,$C88=2,$C88=3,$C88=4)</formula>
    </cfRule>
  </conditionalFormatting>
  <conditionalFormatting sqref="AJ88:AJ96">
    <cfRule type="expression" dxfId="1036" priority="332" stopIfTrue="1">
      <formula>OR(ACOMPANHAMENTO&lt;&gt;"BM",TIPOORCAMENTO="Licitado")</formula>
    </cfRule>
    <cfRule type="expression" dxfId="1035" priority="333" stopIfTrue="1">
      <formula>$C88=1</formula>
    </cfRule>
    <cfRule type="expression" dxfId="1034" priority="334" stopIfTrue="1">
      <formula>OR(AND(ISNUMBER($C88),$C88=0),$C88=2,$C88=3,$C88=4)</formula>
    </cfRule>
  </conditionalFormatting>
  <conditionalFormatting sqref="AL88:AL96">
    <cfRule type="expression" dxfId="1033" priority="335" stopIfTrue="1">
      <formula>TIPOORCAMENTO="PROPOSTO"</formula>
    </cfRule>
    <cfRule type="expression" dxfId="1032" priority="336" stopIfTrue="1">
      <formula>$C88=1</formula>
    </cfRule>
    <cfRule type="expression" dxfId="1031" priority="337" stopIfTrue="1">
      <formula>OR(AND(ISNUMBER($C88),$C88=0),$C88=2,$C88=3,$C88=4)</formula>
    </cfRule>
  </conditionalFormatting>
  <conditionalFormatting sqref="AM88:AN96">
    <cfRule type="expression" dxfId="1030" priority="338" stopIfTrue="1">
      <formula>TIPOORCAMENTO="PROPOSTO"</formula>
    </cfRule>
    <cfRule type="expression" dxfId="1029" priority="339" stopIfTrue="1">
      <formula>$C88=1</formula>
    </cfRule>
    <cfRule type="expression" dxfId="1028" priority="340" stopIfTrue="1">
      <formula>OR(AND(ISNUMBER($C88),$C88=0),$C88=2,$C88=3,$C88=4)</formula>
    </cfRule>
  </conditionalFormatting>
  <conditionalFormatting sqref="M97:M105">
    <cfRule type="cellIs" dxfId="1027" priority="307" stopIfTrue="1" operator="notEqual">
      <formula>$N97</formula>
    </cfRule>
  </conditionalFormatting>
  <conditionalFormatting sqref="N97:O105 R97:R105 W97:X105">
    <cfRule type="expression" dxfId="1026" priority="308" stopIfTrue="1">
      <formula>$C97=1</formula>
    </cfRule>
    <cfRule type="expression" dxfId="1025" priority="309" stopIfTrue="1">
      <formula>OR($C97=0,$C97=2,$C97=3,$C97=4)</formula>
    </cfRule>
  </conditionalFormatting>
  <conditionalFormatting sqref="U97:V105">
    <cfRule type="expression" dxfId="1024" priority="310" stopIfTrue="1">
      <formula>$C97=1</formula>
    </cfRule>
    <cfRule type="expression" dxfId="1023" priority="311" stopIfTrue="1">
      <formula>OR($C97=0,$C97=2,$C97=3,$C97=4)</formula>
    </cfRule>
    <cfRule type="expression" dxfId="1022" priority="312" stopIfTrue="1">
      <formula>AND(TIPOORCAMENTO="Licitado",$C97&lt;&gt;"L",$C97&lt;&gt;-1)</formula>
    </cfRule>
  </conditionalFormatting>
  <conditionalFormatting sqref="P97:Q105 S97:T105 Y97:Y105 AG97:AH105">
    <cfRule type="expression" dxfId="1021" priority="313" stopIfTrue="1">
      <formula>$C97=1</formula>
    </cfRule>
    <cfRule type="expression" dxfId="1020" priority="314" stopIfTrue="1">
      <formula>OR($C97=0,$C97=2,$C97=3,$C97=4)</formula>
    </cfRule>
  </conditionalFormatting>
  <conditionalFormatting sqref="AJ97:AJ105">
    <cfRule type="expression" dxfId="1019" priority="315" stopIfTrue="1">
      <formula>OR(ACOMPANHAMENTO&lt;&gt;"BM",TIPOORCAMENTO="Licitado")</formula>
    </cfRule>
    <cfRule type="expression" dxfId="1018" priority="316" stopIfTrue="1">
      <formula>$C97=1</formula>
    </cfRule>
    <cfRule type="expression" dxfId="1017" priority="317" stopIfTrue="1">
      <formula>OR(AND(ISNUMBER($C97),$C97=0),$C97=2,$C97=3,$C97=4)</formula>
    </cfRule>
  </conditionalFormatting>
  <conditionalFormatting sqref="AL97:AL105">
    <cfRule type="expression" dxfId="1016" priority="318" stopIfTrue="1">
      <formula>TIPOORCAMENTO="PROPOSTO"</formula>
    </cfRule>
    <cfRule type="expression" dxfId="1015" priority="319" stopIfTrue="1">
      <formula>$C97=1</formula>
    </cfRule>
    <cfRule type="expression" dxfId="1014" priority="320" stopIfTrue="1">
      <formula>OR(AND(ISNUMBER($C97),$C97=0),$C97=2,$C97=3,$C97=4)</formula>
    </cfRule>
  </conditionalFormatting>
  <conditionalFormatting sqref="AM97:AN105">
    <cfRule type="expression" dxfId="1013" priority="321" stopIfTrue="1">
      <formula>TIPOORCAMENTO="PROPOSTO"</formula>
    </cfRule>
    <cfRule type="expression" dxfId="1012" priority="322" stopIfTrue="1">
      <formula>$C97=1</formula>
    </cfRule>
    <cfRule type="expression" dxfId="1011" priority="323" stopIfTrue="1">
      <formula>OR(AND(ISNUMBER($C97),$C97=0),$C97=2,$C97=3,$C97=4)</formula>
    </cfRule>
  </conditionalFormatting>
  <conditionalFormatting sqref="M106:M114">
    <cfRule type="cellIs" dxfId="1010" priority="290" stopIfTrue="1" operator="notEqual">
      <formula>$N106</formula>
    </cfRule>
  </conditionalFormatting>
  <conditionalFormatting sqref="N106:O114 R106:R114 W106:X114">
    <cfRule type="expression" dxfId="1009" priority="291" stopIfTrue="1">
      <formula>$C106=1</formula>
    </cfRule>
    <cfRule type="expression" dxfId="1008" priority="292" stopIfTrue="1">
      <formula>OR($C106=0,$C106=2,$C106=3,$C106=4)</formula>
    </cfRule>
  </conditionalFormatting>
  <conditionalFormatting sqref="U106:V114">
    <cfRule type="expression" dxfId="1007" priority="293" stopIfTrue="1">
      <formula>$C106=1</formula>
    </cfRule>
    <cfRule type="expression" dxfId="1006" priority="294" stopIfTrue="1">
      <formula>OR($C106=0,$C106=2,$C106=3,$C106=4)</formula>
    </cfRule>
    <cfRule type="expression" dxfId="1005" priority="295" stopIfTrue="1">
      <formula>AND(TIPOORCAMENTO="Licitado",$C106&lt;&gt;"L",$C106&lt;&gt;-1)</formula>
    </cfRule>
  </conditionalFormatting>
  <conditionalFormatting sqref="P106:Q114 S106:T114 Y106:Y114 AG106:AH114">
    <cfRule type="expression" dxfId="1004" priority="296" stopIfTrue="1">
      <formula>$C106=1</formula>
    </cfRule>
    <cfRule type="expression" dxfId="1003" priority="297" stopIfTrue="1">
      <formula>OR($C106=0,$C106=2,$C106=3,$C106=4)</formula>
    </cfRule>
  </conditionalFormatting>
  <conditionalFormatting sqref="AJ106:AJ114">
    <cfRule type="expression" dxfId="1002" priority="298" stopIfTrue="1">
      <formula>OR(ACOMPANHAMENTO&lt;&gt;"BM",TIPOORCAMENTO="Licitado")</formula>
    </cfRule>
    <cfRule type="expression" dxfId="1001" priority="299" stopIfTrue="1">
      <formula>$C106=1</formula>
    </cfRule>
    <cfRule type="expression" dxfId="1000" priority="300" stopIfTrue="1">
      <formula>OR(AND(ISNUMBER($C106),$C106=0),$C106=2,$C106=3,$C106=4)</formula>
    </cfRule>
  </conditionalFormatting>
  <conditionalFormatting sqref="AL106:AL114">
    <cfRule type="expression" dxfId="999" priority="301" stopIfTrue="1">
      <formula>TIPOORCAMENTO="PROPOSTO"</formula>
    </cfRule>
    <cfRule type="expression" dxfId="998" priority="302" stopIfTrue="1">
      <formula>$C106=1</formula>
    </cfRule>
    <cfRule type="expression" dxfId="997" priority="303" stopIfTrue="1">
      <formula>OR(AND(ISNUMBER($C106),$C106=0),$C106=2,$C106=3,$C106=4)</formula>
    </cfRule>
  </conditionalFormatting>
  <conditionalFormatting sqref="AM106:AN114">
    <cfRule type="expression" dxfId="996" priority="304" stopIfTrue="1">
      <formula>TIPOORCAMENTO="PROPOSTO"</formula>
    </cfRule>
    <cfRule type="expression" dxfId="995" priority="305" stopIfTrue="1">
      <formula>$C106=1</formula>
    </cfRule>
    <cfRule type="expression" dxfId="994" priority="306" stopIfTrue="1">
      <formula>OR(AND(ISNUMBER($C106),$C106=0),$C106=2,$C106=3,$C106=4)</formula>
    </cfRule>
  </conditionalFormatting>
  <conditionalFormatting sqref="M115:M123">
    <cfRule type="cellIs" dxfId="993" priority="273" stopIfTrue="1" operator="notEqual">
      <formula>$N115</formula>
    </cfRule>
  </conditionalFormatting>
  <conditionalFormatting sqref="N115:O123 R115:R123 W115:X123">
    <cfRule type="expression" dxfId="992" priority="274" stopIfTrue="1">
      <formula>$C115=1</formula>
    </cfRule>
    <cfRule type="expression" dxfId="991" priority="275" stopIfTrue="1">
      <formula>OR($C115=0,$C115=2,$C115=3,$C115=4)</formula>
    </cfRule>
  </conditionalFormatting>
  <conditionalFormatting sqref="U115:V123">
    <cfRule type="expression" dxfId="990" priority="276" stopIfTrue="1">
      <formula>$C115=1</formula>
    </cfRule>
    <cfRule type="expression" dxfId="989" priority="277" stopIfTrue="1">
      <formula>OR($C115=0,$C115=2,$C115=3,$C115=4)</formula>
    </cfRule>
    <cfRule type="expression" dxfId="988" priority="278" stopIfTrue="1">
      <formula>AND(TIPOORCAMENTO="Licitado",$C115&lt;&gt;"L",$C115&lt;&gt;-1)</formula>
    </cfRule>
  </conditionalFormatting>
  <conditionalFormatting sqref="P115:Q123 S115:T123 Y115:Y123 AG115:AH123">
    <cfRule type="expression" dxfId="987" priority="279" stopIfTrue="1">
      <formula>$C115=1</formula>
    </cfRule>
    <cfRule type="expression" dxfId="986" priority="280" stopIfTrue="1">
      <formula>OR($C115=0,$C115=2,$C115=3,$C115=4)</formula>
    </cfRule>
  </conditionalFormatting>
  <conditionalFormatting sqref="AJ115:AJ123">
    <cfRule type="expression" dxfId="985" priority="281" stopIfTrue="1">
      <formula>OR(ACOMPANHAMENTO&lt;&gt;"BM",TIPOORCAMENTO="Licitado")</formula>
    </cfRule>
    <cfRule type="expression" dxfId="984" priority="282" stopIfTrue="1">
      <formula>$C115=1</formula>
    </cfRule>
    <cfRule type="expression" dxfId="983" priority="283" stopIfTrue="1">
      <formula>OR(AND(ISNUMBER($C115),$C115=0),$C115=2,$C115=3,$C115=4)</formula>
    </cfRule>
  </conditionalFormatting>
  <conditionalFormatting sqref="AL115:AL123">
    <cfRule type="expression" dxfId="982" priority="284" stopIfTrue="1">
      <formula>TIPOORCAMENTO="PROPOSTO"</formula>
    </cfRule>
    <cfRule type="expression" dxfId="981" priority="285" stopIfTrue="1">
      <formula>$C115=1</formula>
    </cfRule>
    <cfRule type="expression" dxfId="980" priority="286" stopIfTrue="1">
      <formula>OR(AND(ISNUMBER($C115),$C115=0),$C115=2,$C115=3,$C115=4)</formula>
    </cfRule>
  </conditionalFormatting>
  <conditionalFormatting sqref="AM115:AN123">
    <cfRule type="expression" dxfId="979" priority="287" stopIfTrue="1">
      <formula>TIPOORCAMENTO="PROPOSTO"</formula>
    </cfRule>
    <cfRule type="expression" dxfId="978" priority="288" stopIfTrue="1">
      <formula>$C115=1</formula>
    </cfRule>
    <cfRule type="expression" dxfId="977" priority="289" stopIfTrue="1">
      <formula>OR(AND(ISNUMBER($C115),$C115=0),$C115=2,$C115=3,$C115=4)</formula>
    </cfRule>
  </conditionalFormatting>
  <conditionalFormatting sqref="M124:M132">
    <cfRule type="cellIs" dxfId="976" priority="256" stopIfTrue="1" operator="notEqual">
      <formula>$N124</formula>
    </cfRule>
  </conditionalFormatting>
  <conditionalFormatting sqref="N124:O132 R124:R132 W124:X132">
    <cfRule type="expression" dxfId="975" priority="257" stopIfTrue="1">
      <formula>$C124=1</formula>
    </cfRule>
    <cfRule type="expression" dxfId="974" priority="258" stopIfTrue="1">
      <formula>OR($C124=0,$C124=2,$C124=3,$C124=4)</formula>
    </cfRule>
  </conditionalFormatting>
  <conditionalFormatting sqref="U124:V132">
    <cfRule type="expression" dxfId="973" priority="259" stopIfTrue="1">
      <formula>$C124=1</formula>
    </cfRule>
    <cfRule type="expression" dxfId="972" priority="260" stopIfTrue="1">
      <formula>OR($C124=0,$C124=2,$C124=3,$C124=4)</formula>
    </cfRule>
    <cfRule type="expression" dxfId="971" priority="261" stopIfTrue="1">
      <formula>AND(TIPOORCAMENTO="Licitado",$C124&lt;&gt;"L",$C124&lt;&gt;-1)</formula>
    </cfRule>
  </conditionalFormatting>
  <conditionalFormatting sqref="P124:Q132 S124:T132 Y124:Y132 AG124:AH132">
    <cfRule type="expression" dxfId="970" priority="262" stopIfTrue="1">
      <formula>$C124=1</formula>
    </cfRule>
    <cfRule type="expression" dxfId="969" priority="263" stopIfTrue="1">
      <formula>OR($C124=0,$C124=2,$C124=3,$C124=4)</formula>
    </cfRule>
  </conditionalFormatting>
  <conditionalFormatting sqref="AJ124:AJ132">
    <cfRule type="expression" dxfId="968" priority="264" stopIfTrue="1">
      <formula>OR(ACOMPANHAMENTO&lt;&gt;"BM",TIPOORCAMENTO="Licitado")</formula>
    </cfRule>
    <cfRule type="expression" dxfId="967" priority="265" stopIfTrue="1">
      <formula>$C124=1</formula>
    </cfRule>
    <cfRule type="expression" dxfId="966" priority="266" stopIfTrue="1">
      <formula>OR(AND(ISNUMBER($C124),$C124=0),$C124=2,$C124=3,$C124=4)</formula>
    </cfRule>
  </conditionalFormatting>
  <conditionalFormatting sqref="AL124:AL132">
    <cfRule type="expression" dxfId="965" priority="267" stopIfTrue="1">
      <formula>TIPOORCAMENTO="PROPOSTO"</formula>
    </cfRule>
    <cfRule type="expression" dxfId="964" priority="268" stopIfTrue="1">
      <formula>$C124=1</formula>
    </cfRule>
    <cfRule type="expression" dxfId="963" priority="269" stopIfTrue="1">
      <formula>OR(AND(ISNUMBER($C124),$C124=0),$C124=2,$C124=3,$C124=4)</formula>
    </cfRule>
  </conditionalFormatting>
  <conditionalFormatting sqref="AM124:AN132">
    <cfRule type="expression" dxfId="962" priority="270" stopIfTrue="1">
      <formula>TIPOORCAMENTO="PROPOSTO"</formula>
    </cfRule>
    <cfRule type="expression" dxfId="961" priority="271" stopIfTrue="1">
      <formula>$C124=1</formula>
    </cfRule>
    <cfRule type="expression" dxfId="960" priority="272" stopIfTrue="1">
      <formula>OR(AND(ISNUMBER($C124),$C124=0),$C124=2,$C124=3,$C124=4)</formula>
    </cfRule>
  </conditionalFormatting>
  <conditionalFormatting sqref="M133:M141">
    <cfRule type="cellIs" dxfId="959" priority="239" stopIfTrue="1" operator="notEqual">
      <formula>$N133</formula>
    </cfRule>
  </conditionalFormatting>
  <conditionalFormatting sqref="N133:O141 R133:R141 W133:X141">
    <cfRule type="expression" dxfId="958" priority="240" stopIfTrue="1">
      <formula>$C133=1</formula>
    </cfRule>
    <cfRule type="expression" dxfId="957" priority="241" stopIfTrue="1">
      <formula>OR($C133=0,$C133=2,$C133=3,$C133=4)</formula>
    </cfRule>
  </conditionalFormatting>
  <conditionalFormatting sqref="U133:V141">
    <cfRule type="expression" dxfId="956" priority="242" stopIfTrue="1">
      <formula>$C133=1</formula>
    </cfRule>
    <cfRule type="expression" dxfId="955" priority="243" stopIfTrue="1">
      <formula>OR($C133=0,$C133=2,$C133=3,$C133=4)</formula>
    </cfRule>
    <cfRule type="expression" dxfId="954" priority="244" stopIfTrue="1">
      <formula>AND(TIPOORCAMENTO="Licitado",$C133&lt;&gt;"L",$C133&lt;&gt;-1)</formula>
    </cfRule>
  </conditionalFormatting>
  <conditionalFormatting sqref="P133:Q141 S133:T141 Y133:Y141 AG133:AH141">
    <cfRule type="expression" dxfId="953" priority="245" stopIfTrue="1">
      <formula>$C133=1</formula>
    </cfRule>
    <cfRule type="expression" dxfId="952" priority="246" stopIfTrue="1">
      <formula>OR($C133=0,$C133=2,$C133=3,$C133=4)</formula>
    </cfRule>
  </conditionalFormatting>
  <conditionalFormatting sqref="AJ133:AJ141">
    <cfRule type="expression" dxfId="951" priority="247" stopIfTrue="1">
      <formula>OR(ACOMPANHAMENTO&lt;&gt;"BM",TIPOORCAMENTO="Licitado")</formula>
    </cfRule>
    <cfRule type="expression" dxfId="950" priority="248" stopIfTrue="1">
      <formula>$C133=1</formula>
    </cfRule>
    <cfRule type="expression" dxfId="949" priority="249" stopIfTrue="1">
      <formula>OR(AND(ISNUMBER($C133),$C133=0),$C133=2,$C133=3,$C133=4)</formula>
    </cfRule>
  </conditionalFormatting>
  <conditionalFormatting sqref="AL133:AL141">
    <cfRule type="expression" dxfId="948" priority="250" stopIfTrue="1">
      <formula>TIPOORCAMENTO="PROPOSTO"</formula>
    </cfRule>
    <cfRule type="expression" dxfId="947" priority="251" stopIfTrue="1">
      <formula>$C133=1</formula>
    </cfRule>
    <cfRule type="expression" dxfId="946" priority="252" stopIfTrue="1">
      <formula>OR(AND(ISNUMBER($C133),$C133=0),$C133=2,$C133=3,$C133=4)</formula>
    </cfRule>
  </conditionalFormatting>
  <conditionalFormatting sqref="AM133:AN141">
    <cfRule type="expression" dxfId="945" priority="253" stopIfTrue="1">
      <formula>TIPOORCAMENTO="PROPOSTO"</formula>
    </cfRule>
    <cfRule type="expression" dxfId="944" priority="254" stopIfTrue="1">
      <formula>$C133=1</formula>
    </cfRule>
    <cfRule type="expression" dxfId="943" priority="255" stopIfTrue="1">
      <formula>OR(AND(ISNUMBER($C133),$C133=0),$C133=2,$C133=3,$C133=4)</formula>
    </cfRule>
  </conditionalFormatting>
  <conditionalFormatting sqref="M142:M150">
    <cfRule type="cellIs" dxfId="942" priority="222" stopIfTrue="1" operator="notEqual">
      <formula>$N142</formula>
    </cfRule>
  </conditionalFormatting>
  <conditionalFormatting sqref="N142:O150 R142:R150 W142:X150">
    <cfRule type="expression" dxfId="941" priority="223" stopIfTrue="1">
      <formula>$C142=1</formula>
    </cfRule>
    <cfRule type="expression" dxfId="940" priority="224" stopIfTrue="1">
      <formula>OR($C142=0,$C142=2,$C142=3,$C142=4)</formula>
    </cfRule>
  </conditionalFormatting>
  <conditionalFormatting sqref="U142:V150">
    <cfRule type="expression" dxfId="939" priority="225" stopIfTrue="1">
      <formula>$C142=1</formula>
    </cfRule>
    <cfRule type="expression" dxfId="938" priority="226" stopIfTrue="1">
      <formula>OR($C142=0,$C142=2,$C142=3,$C142=4)</formula>
    </cfRule>
    <cfRule type="expression" dxfId="937" priority="227" stopIfTrue="1">
      <formula>AND(TIPOORCAMENTO="Licitado",$C142&lt;&gt;"L",$C142&lt;&gt;-1)</formula>
    </cfRule>
  </conditionalFormatting>
  <conditionalFormatting sqref="P142:Q150 S142:T150 Y142:Y150 AG142:AH150">
    <cfRule type="expression" dxfId="936" priority="228" stopIfTrue="1">
      <formula>$C142=1</formula>
    </cfRule>
    <cfRule type="expression" dxfId="935" priority="229" stopIfTrue="1">
      <formula>OR($C142=0,$C142=2,$C142=3,$C142=4)</formula>
    </cfRule>
  </conditionalFormatting>
  <conditionalFormatting sqref="AJ142:AJ150">
    <cfRule type="expression" dxfId="934" priority="230" stopIfTrue="1">
      <formula>OR(ACOMPANHAMENTO&lt;&gt;"BM",TIPOORCAMENTO="Licitado")</formula>
    </cfRule>
    <cfRule type="expression" dxfId="933" priority="231" stopIfTrue="1">
      <formula>$C142=1</formula>
    </cfRule>
    <cfRule type="expression" dxfId="932" priority="232" stopIfTrue="1">
      <formula>OR(AND(ISNUMBER($C142),$C142=0),$C142=2,$C142=3,$C142=4)</formula>
    </cfRule>
  </conditionalFormatting>
  <conditionalFormatting sqref="AL142:AL150">
    <cfRule type="expression" dxfId="931" priority="233" stopIfTrue="1">
      <formula>TIPOORCAMENTO="PROPOSTO"</formula>
    </cfRule>
    <cfRule type="expression" dxfId="930" priority="234" stopIfTrue="1">
      <formula>$C142=1</formula>
    </cfRule>
    <cfRule type="expression" dxfId="929" priority="235" stopIfTrue="1">
      <formula>OR(AND(ISNUMBER($C142),$C142=0),$C142=2,$C142=3,$C142=4)</formula>
    </cfRule>
  </conditionalFormatting>
  <conditionalFormatting sqref="AM142:AN150">
    <cfRule type="expression" dxfId="928" priority="236" stopIfTrue="1">
      <formula>TIPOORCAMENTO="PROPOSTO"</formula>
    </cfRule>
    <cfRule type="expression" dxfId="927" priority="237" stopIfTrue="1">
      <formula>$C142=1</formula>
    </cfRule>
    <cfRule type="expression" dxfId="926" priority="238" stopIfTrue="1">
      <formula>OR(AND(ISNUMBER($C142),$C142=0),$C142=2,$C142=3,$C142=4)</formula>
    </cfRule>
  </conditionalFormatting>
  <conditionalFormatting sqref="M151:M159">
    <cfRule type="cellIs" dxfId="925" priority="205" stopIfTrue="1" operator="notEqual">
      <formula>$N151</formula>
    </cfRule>
  </conditionalFormatting>
  <conditionalFormatting sqref="N151:O159 R151:R159 W151:X159">
    <cfRule type="expression" dxfId="924" priority="206" stopIfTrue="1">
      <formula>$C151=1</formula>
    </cfRule>
    <cfRule type="expression" dxfId="923" priority="207" stopIfTrue="1">
      <formula>OR($C151=0,$C151=2,$C151=3,$C151=4)</formula>
    </cfRule>
  </conditionalFormatting>
  <conditionalFormatting sqref="U151:V159">
    <cfRule type="expression" dxfId="922" priority="208" stopIfTrue="1">
      <formula>$C151=1</formula>
    </cfRule>
    <cfRule type="expression" dxfId="921" priority="209" stopIfTrue="1">
      <formula>OR($C151=0,$C151=2,$C151=3,$C151=4)</formula>
    </cfRule>
    <cfRule type="expression" dxfId="920" priority="210" stopIfTrue="1">
      <formula>AND(TIPOORCAMENTO="Licitado",$C151&lt;&gt;"L",$C151&lt;&gt;-1)</formula>
    </cfRule>
  </conditionalFormatting>
  <conditionalFormatting sqref="P151:Q159 S151:T159 Y151:Y159 AG151:AH159">
    <cfRule type="expression" dxfId="919" priority="211" stopIfTrue="1">
      <formula>$C151=1</formula>
    </cfRule>
    <cfRule type="expression" dxfId="918" priority="212" stopIfTrue="1">
      <formula>OR($C151=0,$C151=2,$C151=3,$C151=4)</formula>
    </cfRule>
  </conditionalFormatting>
  <conditionalFormatting sqref="AJ151:AJ159">
    <cfRule type="expression" dxfId="917" priority="213" stopIfTrue="1">
      <formula>OR(ACOMPANHAMENTO&lt;&gt;"BM",TIPOORCAMENTO="Licitado")</formula>
    </cfRule>
    <cfRule type="expression" dxfId="916" priority="214" stopIfTrue="1">
      <formula>$C151=1</formula>
    </cfRule>
    <cfRule type="expression" dxfId="915" priority="215" stopIfTrue="1">
      <formula>OR(AND(ISNUMBER($C151),$C151=0),$C151=2,$C151=3,$C151=4)</formula>
    </cfRule>
  </conditionalFormatting>
  <conditionalFormatting sqref="AL151:AL159">
    <cfRule type="expression" dxfId="914" priority="216" stopIfTrue="1">
      <formula>TIPOORCAMENTO="PROPOSTO"</formula>
    </cfRule>
    <cfRule type="expression" dxfId="913" priority="217" stopIfTrue="1">
      <formula>$C151=1</formula>
    </cfRule>
    <cfRule type="expression" dxfId="912" priority="218" stopIfTrue="1">
      <formula>OR(AND(ISNUMBER($C151),$C151=0),$C151=2,$C151=3,$C151=4)</formula>
    </cfRule>
  </conditionalFormatting>
  <conditionalFormatting sqref="AM151:AN159">
    <cfRule type="expression" dxfId="911" priority="219" stopIfTrue="1">
      <formula>TIPOORCAMENTO="PROPOSTO"</formula>
    </cfRule>
    <cfRule type="expression" dxfId="910" priority="220" stopIfTrue="1">
      <formula>$C151=1</formula>
    </cfRule>
    <cfRule type="expression" dxfId="909" priority="221" stopIfTrue="1">
      <formula>OR(AND(ISNUMBER($C151),$C151=0),$C151=2,$C151=3,$C151=4)</formula>
    </cfRule>
  </conditionalFormatting>
  <conditionalFormatting sqref="M160:M168">
    <cfRule type="cellIs" dxfId="908" priority="188" stopIfTrue="1" operator="notEqual">
      <formula>$N160</formula>
    </cfRule>
  </conditionalFormatting>
  <conditionalFormatting sqref="N160:O168 R160:R168 W160:X168">
    <cfRule type="expression" dxfId="907" priority="189" stopIfTrue="1">
      <formula>$C160=1</formula>
    </cfRule>
    <cfRule type="expression" dxfId="906" priority="190" stopIfTrue="1">
      <formula>OR($C160=0,$C160=2,$C160=3,$C160=4)</formula>
    </cfRule>
  </conditionalFormatting>
  <conditionalFormatting sqref="U160:V168">
    <cfRule type="expression" dxfId="905" priority="191" stopIfTrue="1">
      <formula>$C160=1</formula>
    </cfRule>
    <cfRule type="expression" dxfId="904" priority="192" stopIfTrue="1">
      <formula>OR($C160=0,$C160=2,$C160=3,$C160=4)</formula>
    </cfRule>
    <cfRule type="expression" dxfId="903" priority="193" stopIfTrue="1">
      <formula>AND(TIPOORCAMENTO="Licitado",$C160&lt;&gt;"L",$C160&lt;&gt;-1)</formula>
    </cfRule>
  </conditionalFormatting>
  <conditionalFormatting sqref="P160:Q168 S160:T168 Y160:Y168 AG160:AH168">
    <cfRule type="expression" dxfId="902" priority="194" stopIfTrue="1">
      <formula>$C160=1</formula>
    </cfRule>
    <cfRule type="expression" dxfId="901" priority="195" stopIfTrue="1">
      <formula>OR($C160=0,$C160=2,$C160=3,$C160=4)</formula>
    </cfRule>
  </conditionalFormatting>
  <conditionalFormatting sqref="AJ160:AJ168">
    <cfRule type="expression" dxfId="900" priority="196" stopIfTrue="1">
      <formula>OR(ACOMPANHAMENTO&lt;&gt;"BM",TIPOORCAMENTO="Licitado")</formula>
    </cfRule>
    <cfRule type="expression" dxfId="899" priority="197" stopIfTrue="1">
      <formula>$C160=1</formula>
    </cfRule>
    <cfRule type="expression" dxfId="898" priority="198" stopIfTrue="1">
      <formula>OR(AND(ISNUMBER($C160),$C160=0),$C160=2,$C160=3,$C160=4)</formula>
    </cfRule>
  </conditionalFormatting>
  <conditionalFormatting sqref="AL160:AL168">
    <cfRule type="expression" dxfId="897" priority="199" stopIfTrue="1">
      <formula>TIPOORCAMENTO="PROPOSTO"</formula>
    </cfRule>
    <cfRule type="expression" dxfId="896" priority="200" stopIfTrue="1">
      <formula>$C160=1</formula>
    </cfRule>
    <cfRule type="expression" dxfId="895" priority="201" stopIfTrue="1">
      <formula>OR(AND(ISNUMBER($C160),$C160=0),$C160=2,$C160=3,$C160=4)</formula>
    </cfRule>
  </conditionalFormatting>
  <conditionalFormatting sqref="AM160:AN168">
    <cfRule type="expression" dxfId="894" priority="202" stopIfTrue="1">
      <formula>TIPOORCAMENTO="PROPOSTO"</formula>
    </cfRule>
    <cfRule type="expression" dxfId="893" priority="203" stopIfTrue="1">
      <formula>$C160=1</formula>
    </cfRule>
    <cfRule type="expression" dxfId="892" priority="204" stopIfTrue="1">
      <formula>OR(AND(ISNUMBER($C160),$C160=0),$C160=2,$C160=3,$C160=4)</formula>
    </cfRule>
  </conditionalFormatting>
  <conditionalFormatting sqref="M169:M177">
    <cfRule type="cellIs" dxfId="891" priority="171" stopIfTrue="1" operator="notEqual">
      <formula>$N169</formula>
    </cfRule>
  </conditionalFormatting>
  <conditionalFormatting sqref="N169:O177 R169:R177 W169:X177">
    <cfRule type="expression" dxfId="890" priority="172" stopIfTrue="1">
      <formula>$C169=1</formula>
    </cfRule>
    <cfRule type="expression" dxfId="889" priority="173" stopIfTrue="1">
      <formula>OR($C169=0,$C169=2,$C169=3,$C169=4)</formula>
    </cfRule>
  </conditionalFormatting>
  <conditionalFormatting sqref="U169:V177">
    <cfRule type="expression" dxfId="888" priority="174" stopIfTrue="1">
      <formula>$C169=1</formula>
    </cfRule>
    <cfRule type="expression" dxfId="887" priority="175" stopIfTrue="1">
      <formula>OR($C169=0,$C169=2,$C169=3,$C169=4)</formula>
    </cfRule>
    <cfRule type="expression" dxfId="886" priority="176" stopIfTrue="1">
      <formula>AND(TIPOORCAMENTO="Licitado",$C169&lt;&gt;"L",$C169&lt;&gt;-1)</formula>
    </cfRule>
  </conditionalFormatting>
  <conditionalFormatting sqref="P169:Q177 S169:T177 Y169:Y177 AG169:AH177">
    <cfRule type="expression" dxfId="885" priority="177" stopIfTrue="1">
      <formula>$C169=1</formula>
    </cfRule>
    <cfRule type="expression" dxfId="884" priority="178" stopIfTrue="1">
      <formula>OR($C169=0,$C169=2,$C169=3,$C169=4)</formula>
    </cfRule>
  </conditionalFormatting>
  <conditionalFormatting sqref="AJ169:AJ177">
    <cfRule type="expression" dxfId="883" priority="179" stopIfTrue="1">
      <formula>OR(ACOMPANHAMENTO&lt;&gt;"BM",TIPOORCAMENTO="Licitado")</formula>
    </cfRule>
    <cfRule type="expression" dxfId="882" priority="180" stopIfTrue="1">
      <formula>$C169=1</formula>
    </cfRule>
    <cfRule type="expression" dxfId="881" priority="181" stopIfTrue="1">
      <formula>OR(AND(ISNUMBER($C169),$C169=0),$C169=2,$C169=3,$C169=4)</formula>
    </cfRule>
  </conditionalFormatting>
  <conditionalFormatting sqref="AL169:AL177">
    <cfRule type="expression" dxfId="880" priority="182" stopIfTrue="1">
      <formula>TIPOORCAMENTO="PROPOSTO"</formula>
    </cfRule>
    <cfRule type="expression" dxfId="879" priority="183" stopIfTrue="1">
      <formula>$C169=1</formula>
    </cfRule>
    <cfRule type="expression" dxfId="878" priority="184" stopIfTrue="1">
      <formula>OR(AND(ISNUMBER($C169),$C169=0),$C169=2,$C169=3,$C169=4)</formula>
    </cfRule>
  </conditionalFormatting>
  <conditionalFormatting sqref="AM169:AN177">
    <cfRule type="expression" dxfId="877" priority="185" stopIfTrue="1">
      <formula>TIPOORCAMENTO="PROPOSTO"</formula>
    </cfRule>
    <cfRule type="expression" dxfId="876" priority="186" stopIfTrue="1">
      <formula>$C169=1</formula>
    </cfRule>
    <cfRule type="expression" dxfId="875" priority="187" stopIfTrue="1">
      <formula>OR(AND(ISNUMBER($C169),$C169=0),$C169=2,$C169=3,$C169=4)</formula>
    </cfRule>
  </conditionalFormatting>
  <conditionalFormatting sqref="M178:M186">
    <cfRule type="cellIs" dxfId="874" priority="154" stopIfTrue="1" operator="notEqual">
      <formula>$N178</formula>
    </cfRule>
  </conditionalFormatting>
  <conditionalFormatting sqref="N178:O186 R178:R186 W178:X186">
    <cfRule type="expression" dxfId="873" priority="155" stopIfTrue="1">
      <formula>$C178=1</formula>
    </cfRule>
    <cfRule type="expression" dxfId="872" priority="156" stopIfTrue="1">
      <formula>OR($C178=0,$C178=2,$C178=3,$C178=4)</formula>
    </cfRule>
  </conditionalFormatting>
  <conditionalFormatting sqref="U178:V186">
    <cfRule type="expression" dxfId="871" priority="157" stopIfTrue="1">
      <formula>$C178=1</formula>
    </cfRule>
    <cfRule type="expression" dxfId="870" priority="158" stopIfTrue="1">
      <formula>OR($C178=0,$C178=2,$C178=3,$C178=4)</formula>
    </cfRule>
    <cfRule type="expression" dxfId="869" priority="159" stopIfTrue="1">
      <formula>AND(TIPOORCAMENTO="Licitado",$C178&lt;&gt;"L",$C178&lt;&gt;-1)</formula>
    </cfRule>
  </conditionalFormatting>
  <conditionalFormatting sqref="P178:Q186 S178:T186 Y178:Y186 AG178:AH186">
    <cfRule type="expression" dxfId="868" priority="160" stopIfTrue="1">
      <formula>$C178=1</formula>
    </cfRule>
    <cfRule type="expression" dxfId="867" priority="161" stopIfTrue="1">
      <formula>OR($C178=0,$C178=2,$C178=3,$C178=4)</formula>
    </cfRule>
  </conditionalFormatting>
  <conditionalFormatting sqref="AJ178:AJ186">
    <cfRule type="expression" dxfId="866" priority="162" stopIfTrue="1">
      <formula>OR(ACOMPANHAMENTO&lt;&gt;"BM",TIPOORCAMENTO="Licitado")</formula>
    </cfRule>
    <cfRule type="expression" dxfId="865" priority="163" stopIfTrue="1">
      <formula>$C178=1</formula>
    </cfRule>
    <cfRule type="expression" dxfId="864" priority="164" stopIfTrue="1">
      <formula>OR(AND(ISNUMBER($C178),$C178=0),$C178=2,$C178=3,$C178=4)</formula>
    </cfRule>
  </conditionalFormatting>
  <conditionalFormatting sqref="AL178:AL186">
    <cfRule type="expression" dxfId="863" priority="165" stopIfTrue="1">
      <formula>TIPOORCAMENTO="PROPOSTO"</formula>
    </cfRule>
    <cfRule type="expression" dxfId="862" priority="166" stopIfTrue="1">
      <formula>$C178=1</formula>
    </cfRule>
    <cfRule type="expression" dxfId="861" priority="167" stopIfTrue="1">
      <formula>OR(AND(ISNUMBER($C178),$C178=0),$C178=2,$C178=3,$C178=4)</formula>
    </cfRule>
  </conditionalFormatting>
  <conditionalFormatting sqref="AM178:AN186">
    <cfRule type="expression" dxfId="860" priority="168" stopIfTrue="1">
      <formula>TIPOORCAMENTO="PROPOSTO"</formula>
    </cfRule>
    <cfRule type="expression" dxfId="859" priority="169" stopIfTrue="1">
      <formula>$C178=1</formula>
    </cfRule>
    <cfRule type="expression" dxfId="858" priority="170" stopIfTrue="1">
      <formula>OR(AND(ISNUMBER($C178),$C178=0),$C178=2,$C178=3,$C178=4)</formula>
    </cfRule>
  </conditionalFormatting>
  <conditionalFormatting sqref="M187:M195">
    <cfRule type="cellIs" dxfId="857" priority="137" stopIfTrue="1" operator="notEqual">
      <formula>$N187</formula>
    </cfRule>
  </conditionalFormatting>
  <conditionalFormatting sqref="N187:O195 R187:R195 W187:X195">
    <cfRule type="expression" dxfId="856" priority="138" stopIfTrue="1">
      <formula>$C187=1</formula>
    </cfRule>
    <cfRule type="expression" dxfId="855" priority="139" stopIfTrue="1">
      <formula>OR($C187=0,$C187=2,$C187=3,$C187=4)</formula>
    </cfRule>
  </conditionalFormatting>
  <conditionalFormatting sqref="U187:V195">
    <cfRule type="expression" dxfId="854" priority="140" stopIfTrue="1">
      <formula>$C187=1</formula>
    </cfRule>
    <cfRule type="expression" dxfId="853" priority="141" stopIfTrue="1">
      <formula>OR($C187=0,$C187=2,$C187=3,$C187=4)</formula>
    </cfRule>
    <cfRule type="expression" dxfId="852" priority="142" stopIfTrue="1">
      <formula>AND(TIPOORCAMENTO="Licitado",$C187&lt;&gt;"L",$C187&lt;&gt;-1)</formula>
    </cfRule>
  </conditionalFormatting>
  <conditionalFormatting sqref="P187:Q195 S187:T195 Y187:Y195 AG187:AH195">
    <cfRule type="expression" dxfId="851" priority="143" stopIfTrue="1">
      <formula>$C187=1</formula>
    </cfRule>
    <cfRule type="expression" dxfId="850" priority="144" stopIfTrue="1">
      <formula>OR($C187=0,$C187=2,$C187=3,$C187=4)</formula>
    </cfRule>
  </conditionalFormatting>
  <conditionalFormatting sqref="AJ187:AJ195">
    <cfRule type="expression" dxfId="849" priority="145" stopIfTrue="1">
      <formula>OR(ACOMPANHAMENTO&lt;&gt;"BM",TIPOORCAMENTO="Licitado")</formula>
    </cfRule>
    <cfRule type="expression" dxfId="848" priority="146" stopIfTrue="1">
      <formula>$C187=1</formula>
    </cfRule>
    <cfRule type="expression" dxfId="847" priority="147" stopIfTrue="1">
      <formula>OR(AND(ISNUMBER($C187),$C187=0),$C187=2,$C187=3,$C187=4)</formula>
    </cfRule>
  </conditionalFormatting>
  <conditionalFormatting sqref="AL187:AL195">
    <cfRule type="expression" dxfId="846" priority="148" stopIfTrue="1">
      <formula>TIPOORCAMENTO="PROPOSTO"</formula>
    </cfRule>
    <cfRule type="expression" dxfId="845" priority="149" stopIfTrue="1">
      <formula>$C187=1</formula>
    </cfRule>
    <cfRule type="expression" dxfId="844" priority="150" stopIfTrue="1">
      <formula>OR(AND(ISNUMBER($C187),$C187=0),$C187=2,$C187=3,$C187=4)</formula>
    </cfRule>
  </conditionalFormatting>
  <conditionalFormatting sqref="AM187:AN195">
    <cfRule type="expression" dxfId="843" priority="151" stopIfTrue="1">
      <formula>TIPOORCAMENTO="PROPOSTO"</formula>
    </cfRule>
    <cfRule type="expression" dxfId="842" priority="152" stopIfTrue="1">
      <formula>$C187=1</formula>
    </cfRule>
    <cfRule type="expression" dxfId="841" priority="153" stopIfTrue="1">
      <formula>OR(AND(ISNUMBER($C187),$C187=0),$C187=2,$C187=3,$C187=4)</formula>
    </cfRule>
  </conditionalFormatting>
  <conditionalFormatting sqref="M196:M204">
    <cfRule type="cellIs" dxfId="840" priority="120" stopIfTrue="1" operator="notEqual">
      <formula>$N196</formula>
    </cfRule>
  </conditionalFormatting>
  <conditionalFormatting sqref="N196:O204 R196:R204 W196:X204">
    <cfRule type="expression" dxfId="839" priority="121" stopIfTrue="1">
      <formula>$C196=1</formula>
    </cfRule>
    <cfRule type="expression" dxfId="838" priority="122" stopIfTrue="1">
      <formula>OR($C196=0,$C196=2,$C196=3,$C196=4)</formula>
    </cfRule>
  </conditionalFormatting>
  <conditionalFormatting sqref="U196:V204">
    <cfRule type="expression" dxfId="837" priority="123" stopIfTrue="1">
      <formula>$C196=1</formula>
    </cfRule>
    <cfRule type="expression" dxfId="836" priority="124" stopIfTrue="1">
      <formula>OR($C196=0,$C196=2,$C196=3,$C196=4)</formula>
    </cfRule>
    <cfRule type="expression" dxfId="835" priority="125" stopIfTrue="1">
      <formula>AND(TIPOORCAMENTO="Licitado",$C196&lt;&gt;"L",$C196&lt;&gt;-1)</formula>
    </cfRule>
  </conditionalFormatting>
  <conditionalFormatting sqref="P196:Q204 S196:T204 Y196:Y204 AG196:AH204">
    <cfRule type="expression" dxfId="834" priority="126" stopIfTrue="1">
      <formula>$C196=1</formula>
    </cfRule>
    <cfRule type="expression" dxfId="833" priority="127" stopIfTrue="1">
      <formula>OR($C196=0,$C196=2,$C196=3,$C196=4)</formula>
    </cfRule>
  </conditionalFormatting>
  <conditionalFormatting sqref="AJ196:AJ204">
    <cfRule type="expression" dxfId="832" priority="128" stopIfTrue="1">
      <formula>OR(ACOMPANHAMENTO&lt;&gt;"BM",TIPOORCAMENTO="Licitado")</formula>
    </cfRule>
    <cfRule type="expression" dxfId="831" priority="129" stopIfTrue="1">
      <formula>$C196=1</formula>
    </cfRule>
    <cfRule type="expression" dxfId="830" priority="130" stopIfTrue="1">
      <formula>OR(AND(ISNUMBER($C196),$C196=0),$C196=2,$C196=3,$C196=4)</formula>
    </cfRule>
  </conditionalFormatting>
  <conditionalFormatting sqref="AL196:AL204">
    <cfRule type="expression" dxfId="829" priority="131" stopIfTrue="1">
      <formula>TIPOORCAMENTO="PROPOSTO"</formula>
    </cfRule>
    <cfRule type="expression" dxfId="828" priority="132" stopIfTrue="1">
      <formula>$C196=1</formula>
    </cfRule>
    <cfRule type="expression" dxfId="827" priority="133" stopIfTrue="1">
      <formula>OR(AND(ISNUMBER($C196),$C196=0),$C196=2,$C196=3,$C196=4)</formula>
    </cfRule>
  </conditionalFormatting>
  <conditionalFormatting sqref="AM196:AN204">
    <cfRule type="expression" dxfId="826" priority="134" stopIfTrue="1">
      <formula>TIPOORCAMENTO="PROPOSTO"</formula>
    </cfRule>
    <cfRule type="expression" dxfId="825" priority="135" stopIfTrue="1">
      <formula>$C196=1</formula>
    </cfRule>
    <cfRule type="expression" dxfId="824" priority="136" stopIfTrue="1">
      <formula>OR(AND(ISNUMBER($C196),$C196=0),$C196=2,$C196=3,$C196=4)</formula>
    </cfRule>
  </conditionalFormatting>
  <conditionalFormatting sqref="M205:M213">
    <cfRule type="cellIs" dxfId="823" priority="103" stopIfTrue="1" operator="notEqual">
      <formula>$N205</formula>
    </cfRule>
  </conditionalFormatting>
  <conditionalFormatting sqref="N205:O213 R205:R213 W205:X213">
    <cfRule type="expression" dxfId="822" priority="104" stopIfTrue="1">
      <formula>$C205=1</formula>
    </cfRule>
    <cfRule type="expression" dxfId="821" priority="105" stopIfTrue="1">
      <formula>OR($C205=0,$C205=2,$C205=3,$C205=4)</formula>
    </cfRule>
  </conditionalFormatting>
  <conditionalFormatting sqref="U205:V213">
    <cfRule type="expression" dxfId="820" priority="106" stopIfTrue="1">
      <formula>$C205=1</formula>
    </cfRule>
    <cfRule type="expression" dxfId="819" priority="107" stopIfTrue="1">
      <formula>OR($C205=0,$C205=2,$C205=3,$C205=4)</formula>
    </cfRule>
    <cfRule type="expression" dxfId="818" priority="108" stopIfTrue="1">
      <formula>AND(TIPOORCAMENTO="Licitado",$C205&lt;&gt;"L",$C205&lt;&gt;-1)</formula>
    </cfRule>
  </conditionalFormatting>
  <conditionalFormatting sqref="P205:Q213 S205:T213 Y205:Y213 AG205:AH213">
    <cfRule type="expression" dxfId="817" priority="109" stopIfTrue="1">
      <formula>$C205=1</formula>
    </cfRule>
    <cfRule type="expression" dxfId="816" priority="110" stopIfTrue="1">
      <formula>OR($C205=0,$C205=2,$C205=3,$C205=4)</formula>
    </cfRule>
  </conditionalFormatting>
  <conditionalFormatting sqref="AJ205:AJ213">
    <cfRule type="expression" dxfId="815" priority="111" stopIfTrue="1">
      <formula>OR(ACOMPANHAMENTO&lt;&gt;"BM",TIPOORCAMENTO="Licitado")</formula>
    </cfRule>
    <cfRule type="expression" dxfId="814" priority="112" stopIfTrue="1">
      <formula>$C205=1</formula>
    </cfRule>
    <cfRule type="expression" dxfId="813" priority="113" stopIfTrue="1">
      <formula>OR(AND(ISNUMBER($C205),$C205=0),$C205=2,$C205=3,$C205=4)</formula>
    </cfRule>
  </conditionalFormatting>
  <conditionalFormatting sqref="AL205:AL213">
    <cfRule type="expression" dxfId="812" priority="114" stopIfTrue="1">
      <formula>TIPOORCAMENTO="PROPOSTO"</formula>
    </cfRule>
    <cfRule type="expression" dxfId="811" priority="115" stopIfTrue="1">
      <formula>$C205=1</formula>
    </cfRule>
    <cfRule type="expression" dxfId="810" priority="116" stopIfTrue="1">
      <formula>OR(AND(ISNUMBER($C205),$C205=0),$C205=2,$C205=3,$C205=4)</formula>
    </cfRule>
  </conditionalFormatting>
  <conditionalFormatting sqref="AM205:AN213">
    <cfRule type="expression" dxfId="809" priority="117" stopIfTrue="1">
      <formula>TIPOORCAMENTO="PROPOSTO"</formula>
    </cfRule>
    <cfRule type="expression" dxfId="808" priority="118" stopIfTrue="1">
      <formula>$C205=1</formula>
    </cfRule>
    <cfRule type="expression" dxfId="807" priority="119" stopIfTrue="1">
      <formula>OR(AND(ISNUMBER($C205),$C205=0),$C205=2,$C205=3,$C205=4)</formula>
    </cfRule>
  </conditionalFormatting>
  <conditionalFormatting sqref="M214:M222">
    <cfRule type="cellIs" dxfId="806" priority="86" stopIfTrue="1" operator="notEqual">
      <formula>$N214</formula>
    </cfRule>
  </conditionalFormatting>
  <conditionalFormatting sqref="N214:O222 R214:R222 W214:X222">
    <cfRule type="expression" dxfId="805" priority="87" stopIfTrue="1">
      <formula>$C214=1</formula>
    </cfRule>
    <cfRule type="expression" dxfId="804" priority="88" stopIfTrue="1">
      <formula>OR($C214=0,$C214=2,$C214=3,$C214=4)</formula>
    </cfRule>
  </conditionalFormatting>
  <conditionalFormatting sqref="U214:V222">
    <cfRule type="expression" dxfId="803" priority="89" stopIfTrue="1">
      <formula>$C214=1</formula>
    </cfRule>
    <cfRule type="expression" dxfId="802" priority="90" stopIfTrue="1">
      <formula>OR($C214=0,$C214=2,$C214=3,$C214=4)</formula>
    </cfRule>
    <cfRule type="expression" dxfId="801" priority="91" stopIfTrue="1">
      <formula>AND(TIPOORCAMENTO="Licitado",$C214&lt;&gt;"L",$C214&lt;&gt;-1)</formula>
    </cfRule>
  </conditionalFormatting>
  <conditionalFormatting sqref="P214:Q222 S214:T222 Y214:Y222 AG214:AH222">
    <cfRule type="expression" dxfId="800" priority="92" stopIfTrue="1">
      <formula>$C214=1</formula>
    </cfRule>
    <cfRule type="expression" dxfId="799" priority="93" stopIfTrue="1">
      <formula>OR($C214=0,$C214=2,$C214=3,$C214=4)</formula>
    </cfRule>
  </conditionalFormatting>
  <conditionalFormatting sqref="AJ214:AJ222">
    <cfRule type="expression" dxfId="798" priority="94" stopIfTrue="1">
      <formula>OR(ACOMPANHAMENTO&lt;&gt;"BM",TIPOORCAMENTO="Licitado")</formula>
    </cfRule>
    <cfRule type="expression" dxfId="797" priority="95" stopIfTrue="1">
      <formula>$C214=1</formula>
    </cfRule>
    <cfRule type="expression" dxfId="796" priority="96" stopIfTrue="1">
      <formula>OR(AND(ISNUMBER($C214),$C214=0),$C214=2,$C214=3,$C214=4)</formula>
    </cfRule>
  </conditionalFormatting>
  <conditionalFormatting sqref="AL214:AL222">
    <cfRule type="expression" dxfId="795" priority="97" stopIfTrue="1">
      <formula>TIPOORCAMENTO="PROPOSTO"</formula>
    </cfRule>
    <cfRule type="expression" dxfId="794" priority="98" stopIfTrue="1">
      <formula>$C214=1</formula>
    </cfRule>
    <cfRule type="expression" dxfId="793" priority="99" stopIfTrue="1">
      <formula>OR(AND(ISNUMBER($C214),$C214=0),$C214=2,$C214=3,$C214=4)</formula>
    </cfRule>
  </conditionalFormatting>
  <conditionalFormatting sqref="AM214:AN222">
    <cfRule type="expression" dxfId="792" priority="100" stopIfTrue="1">
      <formula>TIPOORCAMENTO="PROPOSTO"</formula>
    </cfRule>
    <cfRule type="expression" dxfId="791" priority="101" stopIfTrue="1">
      <formula>$C214=1</formula>
    </cfRule>
    <cfRule type="expression" dxfId="790" priority="102" stopIfTrue="1">
      <formula>OR(AND(ISNUMBER($C214),$C214=0),$C214=2,$C214=3,$C214=4)</formula>
    </cfRule>
  </conditionalFormatting>
  <conditionalFormatting sqref="M223:M231">
    <cfRule type="cellIs" dxfId="789" priority="69" stopIfTrue="1" operator="notEqual">
      <formula>$N223</formula>
    </cfRule>
  </conditionalFormatting>
  <conditionalFormatting sqref="N223:O231 R223:R231 W223:X231">
    <cfRule type="expression" dxfId="788" priority="70" stopIfTrue="1">
      <formula>$C223=1</formula>
    </cfRule>
    <cfRule type="expression" dxfId="787" priority="71" stopIfTrue="1">
      <formula>OR($C223=0,$C223=2,$C223=3,$C223=4)</formula>
    </cfRule>
  </conditionalFormatting>
  <conditionalFormatting sqref="U223:V231">
    <cfRule type="expression" dxfId="786" priority="72" stopIfTrue="1">
      <formula>$C223=1</formula>
    </cfRule>
    <cfRule type="expression" dxfId="785" priority="73" stopIfTrue="1">
      <formula>OR($C223=0,$C223=2,$C223=3,$C223=4)</formula>
    </cfRule>
    <cfRule type="expression" dxfId="784" priority="74" stopIfTrue="1">
      <formula>AND(TIPOORCAMENTO="Licitado",$C223&lt;&gt;"L",$C223&lt;&gt;-1)</formula>
    </cfRule>
  </conditionalFormatting>
  <conditionalFormatting sqref="P223:Q231 S223:T231 Y223:Y231 AG223:AH231">
    <cfRule type="expression" dxfId="783" priority="75" stopIfTrue="1">
      <formula>$C223=1</formula>
    </cfRule>
    <cfRule type="expression" dxfId="782" priority="76" stopIfTrue="1">
      <formula>OR($C223=0,$C223=2,$C223=3,$C223=4)</formula>
    </cfRule>
  </conditionalFormatting>
  <conditionalFormatting sqref="AJ223:AJ231">
    <cfRule type="expression" dxfId="781" priority="77" stopIfTrue="1">
      <formula>OR(ACOMPANHAMENTO&lt;&gt;"BM",TIPOORCAMENTO="Licitado")</formula>
    </cfRule>
    <cfRule type="expression" dxfId="780" priority="78" stopIfTrue="1">
      <formula>$C223=1</formula>
    </cfRule>
    <cfRule type="expression" dxfId="779" priority="79" stopIfTrue="1">
      <formula>OR(AND(ISNUMBER($C223),$C223=0),$C223=2,$C223=3,$C223=4)</formula>
    </cfRule>
  </conditionalFormatting>
  <conditionalFormatting sqref="AL223:AL231">
    <cfRule type="expression" dxfId="778" priority="80" stopIfTrue="1">
      <formula>TIPOORCAMENTO="PROPOSTO"</formula>
    </cfRule>
    <cfRule type="expression" dxfId="777" priority="81" stopIfTrue="1">
      <formula>$C223=1</formula>
    </cfRule>
    <cfRule type="expression" dxfId="776" priority="82" stopIfTrue="1">
      <formula>OR(AND(ISNUMBER($C223),$C223=0),$C223=2,$C223=3,$C223=4)</formula>
    </cfRule>
  </conditionalFormatting>
  <conditionalFormatting sqref="AM223:AN231">
    <cfRule type="expression" dxfId="775" priority="83" stopIfTrue="1">
      <formula>TIPOORCAMENTO="PROPOSTO"</formula>
    </cfRule>
    <cfRule type="expression" dxfId="774" priority="84" stopIfTrue="1">
      <formula>$C223=1</formula>
    </cfRule>
    <cfRule type="expression" dxfId="773" priority="85" stopIfTrue="1">
      <formula>OR(AND(ISNUMBER($C223),$C223=0),$C223=2,$C223=3,$C223=4)</formula>
    </cfRule>
  </conditionalFormatting>
  <conditionalFormatting sqref="M232:M240">
    <cfRule type="cellIs" dxfId="772" priority="52" stopIfTrue="1" operator="notEqual">
      <formula>$N232</formula>
    </cfRule>
  </conditionalFormatting>
  <conditionalFormatting sqref="N232:O240 R232:R240 W232:X240">
    <cfRule type="expression" dxfId="771" priority="53" stopIfTrue="1">
      <formula>$C232=1</formula>
    </cfRule>
    <cfRule type="expression" dxfId="770" priority="54" stopIfTrue="1">
      <formula>OR($C232=0,$C232=2,$C232=3,$C232=4)</formula>
    </cfRule>
  </conditionalFormatting>
  <conditionalFormatting sqref="U232:V240">
    <cfRule type="expression" dxfId="769" priority="55" stopIfTrue="1">
      <formula>$C232=1</formula>
    </cfRule>
    <cfRule type="expression" dxfId="768" priority="56" stopIfTrue="1">
      <formula>OR($C232=0,$C232=2,$C232=3,$C232=4)</formula>
    </cfRule>
    <cfRule type="expression" dxfId="767" priority="57" stopIfTrue="1">
      <formula>AND(TIPOORCAMENTO="Licitado",$C232&lt;&gt;"L",$C232&lt;&gt;-1)</formula>
    </cfRule>
  </conditionalFormatting>
  <conditionalFormatting sqref="P232:Q240 S232:T240 Y232:Y240 AG232:AH240">
    <cfRule type="expression" dxfId="766" priority="58" stopIfTrue="1">
      <formula>$C232=1</formula>
    </cfRule>
    <cfRule type="expression" dxfId="765" priority="59" stopIfTrue="1">
      <formula>OR($C232=0,$C232=2,$C232=3,$C232=4)</formula>
    </cfRule>
  </conditionalFormatting>
  <conditionalFormatting sqref="AJ232:AJ240">
    <cfRule type="expression" dxfId="764" priority="60" stopIfTrue="1">
      <formula>OR(ACOMPANHAMENTO&lt;&gt;"BM",TIPOORCAMENTO="Licitado")</formula>
    </cfRule>
    <cfRule type="expression" dxfId="763" priority="61" stopIfTrue="1">
      <formula>$C232=1</formula>
    </cfRule>
    <cfRule type="expression" dxfId="762" priority="62" stopIfTrue="1">
      <formula>OR(AND(ISNUMBER($C232),$C232=0),$C232=2,$C232=3,$C232=4)</formula>
    </cfRule>
  </conditionalFormatting>
  <conditionalFormatting sqref="AL232:AL240">
    <cfRule type="expression" dxfId="761" priority="63" stopIfTrue="1">
      <formula>TIPOORCAMENTO="PROPOSTO"</formula>
    </cfRule>
    <cfRule type="expression" dxfId="760" priority="64" stopIfTrue="1">
      <formula>$C232=1</formula>
    </cfRule>
    <cfRule type="expression" dxfId="759" priority="65" stopIfTrue="1">
      <formula>OR(AND(ISNUMBER($C232),$C232=0),$C232=2,$C232=3,$C232=4)</formula>
    </cfRule>
  </conditionalFormatting>
  <conditionalFormatting sqref="AM232:AN240">
    <cfRule type="expression" dxfId="758" priority="66" stopIfTrue="1">
      <formula>TIPOORCAMENTO="PROPOSTO"</formula>
    </cfRule>
    <cfRule type="expression" dxfId="757" priority="67" stopIfTrue="1">
      <formula>$C232=1</formula>
    </cfRule>
    <cfRule type="expression" dxfId="756" priority="68" stopIfTrue="1">
      <formula>OR(AND(ISNUMBER($C232),$C232=0),$C232=2,$C232=3,$C232=4)</formula>
    </cfRule>
  </conditionalFormatting>
  <conditionalFormatting sqref="M241:M249">
    <cfRule type="cellIs" dxfId="755" priority="35" stopIfTrue="1" operator="notEqual">
      <formula>$N241</formula>
    </cfRule>
  </conditionalFormatting>
  <conditionalFormatting sqref="N241:O249 R241:R249 W241:X249">
    <cfRule type="expression" dxfId="754" priority="36" stopIfTrue="1">
      <formula>$C241=1</formula>
    </cfRule>
    <cfRule type="expression" dxfId="753" priority="37" stopIfTrue="1">
      <formula>OR($C241=0,$C241=2,$C241=3,$C241=4)</formula>
    </cfRule>
  </conditionalFormatting>
  <conditionalFormatting sqref="U241:V249">
    <cfRule type="expression" dxfId="752" priority="38" stopIfTrue="1">
      <formula>$C241=1</formula>
    </cfRule>
    <cfRule type="expression" dxfId="751" priority="39" stopIfTrue="1">
      <formula>OR($C241=0,$C241=2,$C241=3,$C241=4)</formula>
    </cfRule>
    <cfRule type="expression" dxfId="750" priority="40" stopIfTrue="1">
      <formula>AND(TIPOORCAMENTO="Licitado",$C241&lt;&gt;"L",$C241&lt;&gt;-1)</formula>
    </cfRule>
  </conditionalFormatting>
  <conditionalFormatting sqref="P241:Q249 S241:T249 Y241:Y249 AG241:AH249">
    <cfRule type="expression" dxfId="749" priority="41" stopIfTrue="1">
      <formula>$C241=1</formula>
    </cfRule>
    <cfRule type="expression" dxfId="748" priority="42" stopIfTrue="1">
      <formula>OR($C241=0,$C241=2,$C241=3,$C241=4)</formula>
    </cfRule>
  </conditionalFormatting>
  <conditionalFormatting sqref="AJ241:AJ249">
    <cfRule type="expression" dxfId="747" priority="43" stopIfTrue="1">
      <formula>OR(ACOMPANHAMENTO&lt;&gt;"BM",TIPOORCAMENTO="Licitado")</formula>
    </cfRule>
    <cfRule type="expression" dxfId="746" priority="44" stopIfTrue="1">
      <formula>$C241=1</formula>
    </cfRule>
    <cfRule type="expression" dxfId="745" priority="45" stopIfTrue="1">
      <formula>OR(AND(ISNUMBER($C241),$C241=0),$C241=2,$C241=3,$C241=4)</formula>
    </cfRule>
  </conditionalFormatting>
  <conditionalFormatting sqref="AL241:AL249">
    <cfRule type="expression" dxfId="744" priority="46" stopIfTrue="1">
      <formula>TIPOORCAMENTO="PROPOSTO"</formula>
    </cfRule>
    <cfRule type="expression" dxfId="743" priority="47" stopIfTrue="1">
      <formula>$C241=1</formula>
    </cfRule>
    <cfRule type="expression" dxfId="742" priority="48" stopIfTrue="1">
      <formula>OR(AND(ISNUMBER($C241),$C241=0),$C241=2,$C241=3,$C241=4)</formula>
    </cfRule>
  </conditionalFormatting>
  <conditionalFormatting sqref="AM241:AN249">
    <cfRule type="expression" dxfId="741" priority="49" stopIfTrue="1">
      <formula>TIPOORCAMENTO="PROPOSTO"</formula>
    </cfRule>
    <cfRule type="expression" dxfId="740" priority="50" stopIfTrue="1">
      <formula>$C241=1</formula>
    </cfRule>
    <cfRule type="expression" dxfId="739" priority="51" stopIfTrue="1">
      <formula>OR(AND(ISNUMBER($C241),$C241=0),$C241=2,$C241=3,$C241=4)</formula>
    </cfRule>
  </conditionalFormatting>
  <conditionalFormatting sqref="M250:M258">
    <cfRule type="cellIs" dxfId="738" priority="18" stopIfTrue="1" operator="notEqual">
      <formula>$N250</formula>
    </cfRule>
  </conditionalFormatting>
  <conditionalFormatting sqref="N250:O258 R250:R258 W250:X258">
    <cfRule type="expression" dxfId="737" priority="19" stopIfTrue="1">
      <formula>$C250=1</formula>
    </cfRule>
    <cfRule type="expression" dxfId="736" priority="20" stopIfTrue="1">
      <formula>OR($C250=0,$C250=2,$C250=3,$C250=4)</formula>
    </cfRule>
  </conditionalFormatting>
  <conditionalFormatting sqref="U250:V258">
    <cfRule type="expression" dxfId="735" priority="21" stopIfTrue="1">
      <formula>$C250=1</formula>
    </cfRule>
    <cfRule type="expression" dxfId="734" priority="22" stopIfTrue="1">
      <formula>OR($C250=0,$C250=2,$C250=3,$C250=4)</formula>
    </cfRule>
    <cfRule type="expression" dxfId="733" priority="23" stopIfTrue="1">
      <formula>AND(TIPOORCAMENTO="Licitado",$C250&lt;&gt;"L",$C250&lt;&gt;-1)</formula>
    </cfRule>
  </conditionalFormatting>
  <conditionalFormatting sqref="P250:Q258 S250:T258 Y250:Y258 AG250:AH258">
    <cfRule type="expression" dxfId="732" priority="24" stopIfTrue="1">
      <formula>$C250=1</formula>
    </cfRule>
    <cfRule type="expression" dxfId="731" priority="25" stopIfTrue="1">
      <formula>OR($C250=0,$C250=2,$C250=3,$C250=4)</formula>
    </cfRule>
  </conditionalFormatting>
  <conditionalFormatting sqref="AJ250:AJ258">
    <cfRule type="expression" dxfId="730" priority="26" stopIfTrue="1">
      <formula>OR(ACOMPANHAMENTO&lt;&gt;"BM",TIPOORCAMENTO="Licitado")</formula>
    </cfRule>
    <cfRule type="expression" dxfId="729" priority="27" stopIfTrue="1">
      <formula>$C250=1</formula>
    </cfRule>
    <cfRule type="expression" dxfId="728" priority="28" stopIfTrue="1">
      <formula>OR(AND(ISNUMBER($C250),$C250=0),$C250=2,$C250=3,$C250=4)</formula>
    </cfRule>
  </conditionalFormatting>
  <conditionalFormatting sqref="AL250:AL258">
    <cfRule type="expression" dxfId="727" priority="29" stopIfTrue="1">
      <formula>TIPOORCAMENTO="PROPOSTO"</formula>
    </cfRule>
    <cfRule type="expression" dxfId="726" priority="30" stopIfTrue="1">
      <formula>$C250=1</formula>
    </cfRule>
    <cfRule type="expression" dxfId="725" priority="31" stopIfTrue="1">
      <formula>OR(AND(ISNUMBER($C250),$C250=0),$C250=2,$C250=3,$C250=4)</formula>
    </cfRule>
  </conditionalFormatting>
  <conditionalFormatting sqref="AM250:AN258">
    <cfRule type="expression" dxfId="724" priority="32" stopIfTrue="1">
      <formula>TIPOORCAMENTO="PROPOSTO"</formula>
    </cfRule>
    <cfRule type="expression" dxfId="723" priority="33" stopIfTrue="1">
      <formula>$C250=1</formula>
    </cfRule>
    <cfRule type="expression" dxfId="722" priority="34" stopIfTrue="1">
      <formula>OR(AND(ISNUMBER($C250),$C250=0),$C250=2,$C250=3,$C250=4)</formula>
    </cfRule>
  </conditionalFormatting>
  <conditionalFormatting sqref="M259:M265">
    <cfRule type="cellIs" dxfId="721" priority="1" stopIfTrue="1" operator="notEqual">
      <formula>$N259</formula>
    </cfRule>
  </conditionalFormatting>
  <conditionalFormatting sqref="N259:O265 R259:R265 W259:X265">
    <cfRule type="expression" dxfId="720" priority="2" stopIfTrue="1">
      <formula>$C259=1</formula>
    </cfRule>
    <cfRule type="expression" dxfId="719" priority="3" stopIfTrue="1">
      <formula>OR($C259=0,$C259=2,$C259=3,$C259=4)</formula>
    </cfRule>
  </conditionalFormatting>
  <conditionalFormatting sqref="U259:V265">
    <cfRule type="expression" dxfId="718" priority="4" stopIfTrue="1">
      <formula>$C259=1</formula>
    </cfRule>
    <cfRule type="expression" dxfId="717" priority="5" stopIfTrue="1">
      <formula>OR($C259=0,$C259=2,$C259=3,$C259=4)</formula>
    </cfRule>
    <cfRule type="expression" dxfId="716" priority="6" stopIfTrue="1">
      <formula>AND(TIPOORCAMENTO="Licitado",$C259&lt;&gt;"L",$C259&lt;&gt;-1)</formula>
    </cfRule>
  </conditionalFormatting>
  <conditionalFormatting sqref="P259:Q265 S259:T265 Y259:Y265 AG259:AH265">
    <cfRule type="expression" dxfId="715" priority="7" stopIfTrue="1">
      <formula>$C259=1</formula>
    </cfRule>
    <cfRule type="expression" dxfId="714" priority="8" stopIfTrue="1">
      <formula>OR($C259=0,$C259=2,$C259=3,$C259=4)</formula>
    </cfRule>
  </conditionalFormatting>
  <conditionalFormatting sqref="AJ259:AJ265">
    <cfRule type="expression" dxfId="713" priority="9" stopIfTrue="1">
      <formula>OR(ACOMPANHAMENTO&lt;&gt;"BM",TIPOORCAMENTO="Licitado")</formula>
    </cfRule>
    <cfRule type="expression" dxfId="712" priority="10" stopIfTrue="1">
      <formula>$C259=1</formula>
    </cfRule>
    <cfRule type="expression" dxfId="711" priority="11" stopIfTrue="1">
      <formula>OR(AND(ISNUMBER($C259),$C259=0),$C259=2,$C259=3,$C259=4)</formula>
    </cfRule>
  </conditionalFormatting>
  <conditionalFormatting sqref="AL259:AL265">
    <cfRule type="expression" dxfId="710" priority="12" stopIfTrue="1">
      <formula>TIPOORCAMENTO="PROPOSTO"</formula>
    </cfRule>
    <cfRule type="expression" dxfId="709" priority="13" stopIfTrue="1">
      <formula>$C259=1</formula>
    </cfRule>
    <cfRule type="expression" dxfId="708" priority="14" stopIfTrue="1">
      <formula>OR(AND(ISNUMBER($C259),$C259=0),$C259=2,$C259=3,$C259=4)</formula>
    </cfRule>
  </conditionalFormatting>
  <conditionalFormatting sqref="AM259:AN265">
    <cfRule type="expression" dxfId="707" priority="15" stopIfTrue="1">
      <formula>TIPOORCAMENTO="PROPOSTO"</formula>
    </cfRule>
    <cfRule type="expression" dxfId="706" priority="16" stopIfTrue="1">
      <formula>$C259=1</formula>
    </cfRule>
    <cfRule type="expression" dxfId="705" priority="17" stopIfTrue="1">
      <formula>OR(AND(ISNUMBER($C259),$C259=0),$C259=2,$C259=3,$C259=4)</formula>
    </cfRule>
  </conditionalFormatting>
  <dataValidations disablePrompts="1"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 filterMode="1"/>
  <dimension ref="A1:BG65536"/>
  <sheetViews>
    <sheetView showGridLines="0" zoomScale="80" zoomScaleNormal="80" zoomScaleSheetLayoutView="90" workbookViewId="0">
      <pane xSplit="8" ySplit="15" topLeftCell="I39" activePane="bottomRight" state="frozen"/>
      <selection activeCell="C1" sqref="C1"/>
      <selection pane="topRight" activeCell="I1" sqref="I1"/>
      <selection pane="bottomLeft" activeCell="C16" sqref="C16"/>
      <selection pane="bottomRight" activeCell="D13" sqref="D13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PLQ - PLANILHA DE LEVANTAMENTO DE QUANTIDADES</v>
      </c>
      <c r="G1" s="708"/>
      <c r="H1" s="708"/>
      <c r="I1" s="180"/>
      <c r="K1" s="180"/>
      <c r="L1" s="180"/>
      <c r="M1" s="181"/>
      <c r="N1" s="180"/>
      <c r="P1" s="180"/>
      <c r="Q1" s="687" t="s">
        <v>139</v>
      </c>
      <c r="R1" s="687"/>
      <c r="Y1" s="687" t="s">
        <v>139</v>
      </c>
      <c r="Z1" s="687"/>
    </row>
    <row r="2" spans="1:59" ht="15" customHeight="1" x14ac:dyDescent="0.2">
      <c r="F2" s="709" t="str">
        <f>IF(ACOMPANHAMENTO="BM","","Memória de Cálculo")&amp;" - "&amp;import.recurso</f>
        <v>Memória de Cálculo - (SELECIONAR)</v>
      </c>
      <c r="G2" s="709"/>
      <c r="H2" s="709"/>
      <c r="I2" s="182"/>
      <c r="K2" s="182"/>
      <c r="L2" s="182"/>
      <c r="M2" s="183"/>
      <c r="N2" s="182"/>
      <c r="P2" s="182"/>
      <c r="Q2" s="688" t="s">
        <v>142</v>
      </c>
      <c r="R2" s="688"/>
      <c r="Y2" s="688" t="s">
        <v>142</v>
      </c>
      <c r="Z2" s="688"/>
    </row>
    <row r="3" spans="1:59" ht="12.75" customHeight="1" x14ac:dyDescent="0.2"/>
    <row r="4" spans="1:59" ht="12.75" customHeight="1" x14ac:dyDescent="0.2">
      <c r="E4" s="683" t="s">
        <v>201</v>
      </c>
      <c r="F4" s="683"/>
      <c r="G4" s="683" t="s">
        <v>440</v>
      </c>
      <c r="H4" s="683"/>
      <c r="I4" s="112" t="s">
        <v>441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3" t="s">
        <v>145</v>
      </c>
      <c r="T4" s="683"/>
      <c r="U4" s="683" t="s">
        <v>146</v>
      </c>
      <c r="V4" s="683"/>
      <c r="W4" s="683"/>
      <c r="X4" s="683"/>
      <c r="Y4" s="683"/>
      <c r="Z4" s="683"/>
    </row>
    <row r="5" spans="1:59" ht="12.75" customHeight="1" x14ac:dyDescent="0.2">
      <c r="E5" s="686" t="str">
        <f>Import.Apelido</f>
        <v>RECAPE ASFÁLTICO NO MUNICÍPIO DE CÉU AZUL</v>
      </c>
      <c r="F5" s="686"/>
      <c r="G5" s="686">
        <f>Import.SICONV</f>
        <v>0</v>
      </c>
      <c r="H5" s="686"/>
      <c r="I5" s="118">
        <f>Import.CR</f>
        <v>0</v>
      </c>
      <c r="K5" s="187" t="str">
        <f>Import.Proponente</f>
        <v>MUNICÍPIO DE CÉU AZUL</v>
      </c>
      <c r="L5" s="188"/>
      <c r="M5" s="130"/>
      <c r="N5" s="188"/>
      <c r="O5" s="188"/>
      <c r="P5" s="188"/>
      <c r="Q5" s="188"/>
      <c r="R5" s="119"/>
      <c r="S5" s="686">
        <f>Import.CR</f>
        <v>0</v>
      </c>
      <c r="T5" s="686"/>
      <c r="U5" s="686" t="str">
        <f>Import.Proponente</f>
        <v>MUNICÍPIO DE CÉU AZUL</v>
      </c>
      <c r="V5" s="686"/>
      <c r="W5" s="686"/>
      <c r="X5" s="686"/>
      <c r="Y5" s="686"/>
      <c r="Z5" s="686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 ca="1">IF(ACOMPANHAMENTO="BM",0,COUNTIF(M15:M266,0))</f>
        <v>0</v>
      </c>
      <c r="N12" s="191" t="s">
        <v>256</v>
      </c>
      <c r="O12" s="195"/>
      <c r="P12" s="192" t="s">
        <v>254</v>
      </c>
      <c r="Q12" s="592" t="s">
        <v>485</v>
      </c>
      <c r="R12" s="195" t="s">
        <v>486</v>
      </c>
      <c r="S12" s="195" t="s">
        <v>487</v>
      </c>
      <c r="T12" s="195" t="s">
        <v>488</v>
      </c>
      <c r="U12" s="195" t="s">
        <v>489</v>
      </c>
      <c r="V12" s="195" t="s">
        <v>490</v>
      </c>
      <c r="W12" s="195" t="s">
        <v>491</v>
      </c>
      <c r="X12" s="195"/>
      <c r="Y12" s="195"/>
      <c r="Z12" s="196"/>
      <c r="AA12" s="192" t="s">
        <v>254</v>
      </c>
      <c r="AB12" s="197" t="str">
        <f ca="1">OFFSET($P$12,0,AB$13)</f>
        <v>TRAVESSA DOS SÁBIAS (ENTRE A RUA BELO HORIZONTE X RUA SÃO SALVADOR)</v>
      </c>
      <c r="AC12" s="198" t="str">
        <f t="shared" ref="AC12:AK12" ca="1" si="0">OFFSET($P$12,0,AC$13)</f>
        <v>AVENIDA IGUAÇU (ENTRE A RUA NITERÓI X RUA BELO HORIZONTE)</v>
      </c>
      <c r="AD12" s="198" t="str">
        <f t="shared" ca="1" si="0"/>
        <v>RUA BELO HORIZONTE (ENTRE A TRAVESSA DOS SÁBIAS X RUA SÃO LUIZ)</v>
      </c>
      <c r="AE12" s="198" t="str">
        <f t="shared" ca="1" si="0"/>
        <v>RUA DOS EUCALIPTOS (ENTRE A RUA NITERÓI X RUA BELO HORIZONTE)</v>
      </c>
      <c r="AF12" s="198" t="str">
        <f t="shared" ca="1" si="0"/>
        <v>RUA SÃO LUIZ (RUA NITERÓI X RUA SÃO SALVADOR)</v>
      </c>
      <c r="AG12" s="198" t="str">
        <f t="shared" ca="1" si="0"/>
        <v>RUA SÃO SALVADOR (ENTRE A RUA JOÃO PESSOA ATÉ O FINAL)</v>
      </c>
      <c r="AH12" s="198" t="str">
        <f t="shared" ca="1" si="0"/>
        <v>AVENIDA MARECHAL CÂNDIDO DO RONDON (ENTRE A RUA NITERÓI X RUA SÃO SALVADOR)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 t="str">
        <f ca="1">OFFSET($P$12,0,AM$13)</f>
        <v>TRAVESSA DOS SÁBIAS (ENTRE A RUA BELO HORIZONTE X RUA SÃO SALVADOR)</v>
      </c>
      <c r="AN12" s="198" t="str">
        <f t="shared" ref="AN12:AV12" ca="1" si="1">OFFSET($P$12,0,AN$13)</f>
        <v>AVENIDA IGUAÇU (ENTRE A RUA NITERÓI X RUA BELO HORIZONTE)</v>
      </c>
      <c r="AO12" s="198" t="str">
        <f t="shared" ca="1" si="1"/>
        <v>RUA BELO HORIZONTE (ENTRE A TRAVESSA DOS SÁBIAS X RUA SÃO LUIZ)</v>
      </c>
      <c r="AP12" s="198" t="str">
        <f t="shared" ca="1" si="1"/>
        <v>RUA DOS EUCALIPTOS (ENTRE A RUA NITERÓI X RUA BELO HORIZONTE)</v>
      </c>
      <c r="AQ12" s="198" t="str">
        <f t="shared" ca="1" si="1"/>
        <v>RUA SÃO LUIZ (RUA NITERÓI X RUA SÃO SALVADOR)</v>
      </c>
      <c r="AR12" s="198" t="str">
        <f t="shared" ca="1" si="1"/>
        <v>RUA SÃO SALVADOR (ENTRE A RUA JOÃO PESSOA ATÉ O FINAL)</v>
      </c>
      <c r="AS12" s="198" t="str">
        <f t="shared" ca="1" si="1"/>
        <v>AVENIDA MARECHAL CÂNDIDO DO RONDON (ENTRE A RUA NITERÓI X RUA SÃO SALVADOR)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 t="str">
        <f ca="1">OFFSET($P$12,0,AX$13)</f>
        <v>TRAVESSA DOS SÁBIAS (ENTRE A RUA BELO HORIZONTE X RUA SÃO SALVADOR)</v>
      </c>
      <c r="AY12" s="198" t="str">
        <f t="shared" ref="AY12:BG12" ca="1" si="2">OFFSET($P$12,0,AY$13)</f>
        <v>AVENIDA IGUAÇU (ENTRE A RUA NITERÓI X RUA BELO HORIZONTE)</v>
      </c>
      <c r="AZ12" s="198" t="str">
        <f t="shared" ca="1" si="2"/>
        <v>RUA BELO HORIZONTE (ENTRE A TRAVESSA DOS SÁBIAS X RUA SÃO LUIZ)</v>
      </c>
      <c r="BA12" s="198" t="str">
        <f t="shared" ca="1" si="2"/>
        <v>RUA DOS EUCALIPTOS (ENTRE A RUA NITERÓI X RUA BELO HORIZONTE)</v>
      </c>
      <c r="BB12" s="198" t="str">
        <f t="shared" ca="1" si="2"/>
        <v>RUA SÃO LUIZ (RUA NITERÓI X RUA SÃO SALVADOR)</v>
      </c>
      <c r="BC12" s="198" t="str">
        <f t="shared" ca="1" si="2"/>
        <v>RUA SÃO SALVADOR (ENTRE A RUA JOÃO PESSOA ATÉ O FINAL)</v>
      </c>
      <c r="BD12" s="198" t="str">
        <f t="shared" ca="1" si="2"/>
        <v>AVENIDA MARECHAL CÂNDIDO DO RONDON (ENTRE A RUA NITERÓI X RUA SÃO SALVADOR)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7" t="str">
        <f>Import.DescLote</f>
        <v>RECAPE ASFÁLTICO EM DIVERSAS RUAS DO MUNICÍPIO</v>
      </c>
      <c r="F15" s="707"/>
      <c r="G15" s="707"/>
      <c r="H15" s="707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50584.6</v>
      </c>
      <c r="R15" s="221">
        <f t="shared" ca="1" si="5"/>
        <v>49110.268132508187</v>
      </c>
      <c r="S15" s="221">
        <f t="shared" ca="1" si="5"/>
        <v>60850.758159839752</v>
      </c>
      <c r="T15" s="221">
        <f t="shared" ca="1" si="5"/>
        <v>44567.484488380265</v>
      </c>
      <c r="U15" s="221">
        <f t="shared" ca="1" si="5"/>
        <v>92379.298570378203</v>
      </c>
      <c r="V15" s="221">
        <f t="shared" ca="1" si="5"/>
        <v>70566.8316469571</v>
      </c>
      <c r="W15" s="221">
        <f t="shared" ca="1" si="5"/>
        <v>94463.62488897916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50584.6</v>
      </c>
      <c r="AC15" s="224">
        <f ca="1">SUM(OFFSET(AC$15,1,0):AC$266)</f>
        <v>49110.268132508187</v>
      </c>
      <c r="AD15" s="224">
        <f ca="1">SUM(OFFSET(AD$15,1,0):AD$266)</f>
        <v>60850.758159839752</v>
      </c>
      <c r="AE15" s="224">
        <f ca="1">SUM(OFFSET(AE$15,1,0):AE$266)</f>
        <v>44567.484488380265</v>
      </c>
      <c r="AF15" s="224">
        <f ca="1">SUM(OFFSET(AF$15,1,0):AF$266)</f>
        <v>92379.298570378203</v>
      </c>
      <c r="AG15" s="224">
        <f ca="1">SUM(OFFSET(AG$15,1,0):AG$266)</f>
        <v>70566.8316469571</v>
      </c>
      <c r="AH15" s="224">
        <f ca="1">SUM(OFFSET(AH$15,1,0):AH$266)</f>
        <v>94463.62488897916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25.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RECAPE ASFÁLTICO EM DIVERSAS RUAS DO MINICÍPIO DE CÉU AZUL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SERVIÇOS PRELIMINARES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PLACA DE OBRA (PARA CONSTRUCAO CIVIL) EM CHAPA GALVANIZADA *N. 22*, ADESIVADA, DE *2,0 X 1,125* M</v>
      </c>
      <c r="G18" s="208" t="str">
        <f ca="1">IF($D18&lt;&gt;"Serviço","",OFFSET(ORÇAMENTO!S$15,ROW(G18)-ROW(G$15),0))</f>
        <v xml:space="preserve">M2    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2.25</v>
      </c>
      <c r="I18" s="612" t="s">
        <v>474</v>
      </c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SERVIÇOS PRELIMINARES</v>
      </c>
      <c r="O18" s="213"/>
      <c r="Q18" s="213"/>
      <c r="R18" s="214">
        <v>2.25</v>
      </c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795.83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</v>
      </c>
      <c r="AN18" s="216">
        <f ca="1">IF($D18&lt;&gt;"Serviço",0,IF(AND(AUTOEVENTO="Manual",$M18=1),0,IF(OFFSET(CRONOPLE!$F$14,$M18,AN$13)="",10^12,OFFSET(CRONOPLE!$F$14,$M18,AN$13))))</f>
        <v>1</v>
      </c>
      <c r="AO18" s="216">
        <f ca="1">IF($D18&lt;&gt;"Serviço",0,IF(AND(AUTOEVENTO="Manual",$M18=1),0,IF(OFFSET(CRONOPLE!$F$14,$M18,AO$13)="",10^12,OFFSET(CRONOPLE!$F$14,$M18,AO$13))))</f>
        <v>1</v>
      </c>
      <c r="AP18" s="216">
        <f ca="1">IF($D18&lt;&gt;"Serviço",0,IF(AND(AUTOEVENTO="Manual",$M18=1),0,IF(OFFSET(CRONOPLE!$F$14,$M18,AP$13)="",10^12,OFFSET(CRONOPLE!$F$14,$M18,AP$13))))</f>
        <v>1</v>
      </c>
      <c r="AQ18" s="216">
        <f ca="1">IF($D18&lt;&gt;"Serviço",0,IF(AND(AUTOEVENTO="Manual",$M18=1),0,IF(OFFSET(CRONOPLE!$F$14,$M18,AQ$13)="",10^12,OFFSET(CRONOPLE!$F$14,$M18,AQ$13))))</f>
        <v>2</v>
      </c>
      <c r="AR18" s="216">
        <f ca="1">IF($D18&lt;&gt;"Serviço",0,IF(AND(AUTOEVENTO="Manual",$M18=1),0,IF(OFFSET(CRONOPLE!$F$14,$M18,AR$13)="",10^12,OFFSET(CRONOPLE!$F$14,$M18,AR$13))))</f>
        <v>2</v>
      </c>
      <c r="AS18" s="216">
        <f ca="1">IF($D18&lt;&gt;"Serviço",0,IF(AND(AUTOEVENTO="Manual",$M18=1),0,IF(OFFSET(CRONOPLE!$F$14,$M18,AS$13)="",10^12,OFFSET(CRONOPLE!$F$14,$M18,AS$13))))</f>
        <v>2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02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LIMPEZA E LAVAGEM DE PISTA</v>
      </c>
      <c r="G19" s="208" t="str">
        <f ca="1">IF($D19&lt;&gt;"Serviço","",OFFSET(ORÇAMENTO!S$15,ROW(G19)-ROW(G$15),0))</f>
        <v>M2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7369.47</v>
      </c>
      <c r="I19" s="612" t="s">
        <v>492</v>
      </c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SERVIÇOS PRELIMINARES</v>
      </c>
      <c r="O19" s="213"/>
      <c r="Q19" s="213">
        <v>796.83</v>
      </c>
      <c r="R19" s="214">
        <v>903.06</v>
      </c>
      <c r="S19" s="214">
        <v>931</v>
      </c>
      <c r="T19" s="214">
        <v>692.05</v>
      </c>
      <c r="U19" s="214">
        <v>1444.21</v>
      </c>
      <c r="V19" s="214">
        <v>1135.77</v>
      </c>
      <c r="W19" s="214">
        <v>1466.55</v>
      </c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374.5100026867604</v>
      </c>
      <c r="AC19" s="594">
        <f ca="1">IF(AND($D19="Serviço",AC$12&lt;&gt;0,$H19&gt;0,OR(AUTOEVENTO&lt;&gt;"manual",$M19&lt;&gt;1)),ROUND(OFFSET($P19,0,AC$13),15-13*ORÇAMENTO!$AF$7)/$H19*OFFSET(ORÇAMENTO!$X$15,ROW(AC19)-ROW(AC$15),0),0)</f>
        <v>424.43808971337148</v>
      </c>
      <c r="AD19" s="594">
        <f ca="1">IF(AND($D19="Serviço",AD$12&lt;&gt;0,$H19&gt;0,OR(AUTOEVENTO&lt;&gt;"manual",$M19&lt;&gt;1)),ROUND(OFFSET($P19,0,AD$13),15-13*ORÇAMENTO!$AF$7)/$H19*OFFSET(ORÇAMENTO!$X$15,ROW(AD19)-ROW(AD$15),0),0)</f>
        <v>437.56988630118582</v>
      </c>
      <c r="AE19" s="594">
        <f ca="1">IF(AND($D19="Serviço",AE$12&lt;&gt;0,$H19&gt;0,OR(AUTOEVENTO&lt;&gt;"manual",$M19&lt;&gt;1)),ROUND(OFFSET($P19,0,AE$13),15-13*ORÇAMENTO!$AF$7)/$H19*OFFSET(ORÇAMENTO!$X$15,ROW(AE19)-ROW(AE$15),0),0)</f>
        <v>325.26341548306732</v>
      </c>
      <c r="AF19" s="594">
        <f ca="1">IF(AND($D19="Serviço",AF$12&lt;&gt;0,$H19&gt;0,OR(AUTOEVENTO&lt;&gt;"manual",$M19&lt;&gt;1)),ROUND(OFFSET($P19,0,AF$13),15-13*ORÇAMENTO!$AF$7)/$H19*OFFSET(ORÇAMENTO!$X$15,ROW(AF19)-ROW(AF$15),0),0)</f>
        <v>678.77852362517251</v>
      </c>
      <c r="AG19" s="594">
        <f ca="1">IF(AND($D19="Serviço",AG$12&lt;&gt;0,$H19&gt;0,OR(AUTOEVENTO&lt;&gt;"manual",$M19&lt;&gt;1)),ROUND(OFFSET($P19,0,AG$13),15-13*ORÇAMENTO!$AF$7)/$H19*OFFSET(ORÇAMENTO!$X$15,ROW(AG19)-ROW(AG$15),0),0)</f>
        <v>533.81176129355299</v>
      </c>
      <c r="AH19" s="594">
        <f ca="1">IF(AND($D19="Serviço",AH$12&lt;&gt;0,$H19&gt;0,OR(AUTOEVENTO&lt;&gt;"manual",$M19&lt;&gt;1)),ROUND(OFFSET($P19,0,AH$13),15-13*ORÇAMENTO!$AF$7)/$H19*OFFSET(ORÇAMENTO!$X$15,ROW(AH19)-ROW(AH$15),0),0)</f>
        <v>689.27832089688934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</v>
      </c>
      <c r="AN19" s="216">
        <f ca="1">IF($D19&lt;&gt;"Serviço",0,IF(AND(AUTOEVENTO="Manual",$M19=1),0,IF(OFFSET(CRONOPLE!$F$14,$M19,AN$13)="",10^12,OFFSET(CRONOPLE!$F$14,$M19,AN$13))))</f>
        <v>1</v>
      </c>
      <c r="AO19" s="216">
        <f ca="1">IF($D19&lt;&gt;"Serviço",0,IF(AND(AUTOEVENTO="Manual",$M19=1),0,IF(OFFSET(CRONOPLE!$F$14,$M19,AO$13)="",10^12,OFFSET(CRONOPLE!$F$14,$M19,AO$13))))</f>
        <v>1</v>
      </c>
      <c r="AP19" s="216">
        <f ca="1">IF($D19&lt;&gt;"Serviço",0,IF(AND(AUTOEVENTO="Manual",$M19=1),0,IF(OFFSET(CRONOPLE!$F$14,$M19,AP$13)="",10^12,OFFSET(CRONOPLE!$F$14,$M19,AP$13))))</f>
        <v>1</v>
      </c>
      <c r="AQ19" s="216">
        <f ca="1">IF($D19&lt;&gt;"Serviço",0,IF(AND(AUTOEVENTO="Manual",$M19=1),0,IF(OFFSET(CRONOPLE!$F$14,$M19,AQ$13)="",10^12,OFFSET(CRONOPLE!$F$14,$M19,AQ$13))))</f>
        <v>2</v>
      </c>
      <c r="AR19" s="216">
        <f ca="1">IF($D19&lt;&gt;"Serviço",0,IF(AND(AUTOEVENTO="Manual",$M19=1),0,IF(OFFSET(CRONOPLE!$F$14,$M19,AR$13)="",10^12,OFFSET(CRONOPLE!$F$14,$M19,AR$13))))</f>
        <v>2</v>
      </c>
      <c r="AS19" s="216">
        <f ca="1">IF($D19&lt;&gt;"Serviço",0,IF(AND(AUTOEVENTO="Manual",$M19=1),0,IF(OFFSET(CRONOPLE!$F$14,$M19,AS$13)="",10^12,OFFSET(CRONOPLE!$F$14,$M19,AS$13))))</f>
        <v>2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hidden="1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6" t="str">
        <f ca="1">OFFSET(ORÇAMENTO!N$15,ROW(D20)-ROW(D$15),0)</f>
        <v>Serviço</v>
      </c>
      <c r="E20" s="206" t="str">
        <f ca="1">OFFSET(ORÇAMENTO!O$15,ROW(E20)-ROW(E$15),0)</f>
        <v>-</v>
      </c>
      <c r="F20" s="207" t="str">
        <f ca="1">OFFSET(ORÇAMENTO!R$15,ROW(F20)-ROW(F$15),0)</f>
        <v>(Sem Código)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SERVIÇOS PRELIMINARES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</v>
      </c>
      <c r="AN20" s="216">
        <f ca="1">IF($D20&lt;&gt;"Serviço",0,IF(AND(AUTOEVENTO="Manual",$M20=1),0,IF(OFFSET(CRONOPLE!$F$14,$M20,AN$13)="",10^12,OFFSET(CRONOPLE!$F$14,$M20,AN$13))))</f>
        <v>1</v>
      </c>
      <c r="AO20" s="216">
        <f ca="1">IF($D20&lt;&gt;"Serviço",0,IF(AND(AUTOEVENTO="Manual",$M20=1),0,IF(OFFSET(CRONOPLE!$F$14,$M20,AO$13)="",10^12,OFFSET(CRONOPLE!$F$14,$M20,AO$13))))</f>
        <v>1</v>
      </c>
      <c r="AP20" s="216">
        <f ca="1">IF($D20&lt;&gt;"Serviço",0,IF(AND(AUTOEVENTO="Manual",$M20=1),0,IF(OFFSET(CRONOPLE!$F$14,$M20,AP$13)="",10^12,OFFSET(CRONOPLE!$F$14,$M20,AP$13))))</f>
        <v>1</v>
      </c>
      <c r="AQ20" s="216">
        <f ca="1">IF($D20&lt;&gt;"Serviço",0,IF(AND(AUTOEVENTO="Manual",$M20=1),0,IF(OFFSET(CRONOPLE!$F$14,$M20,AQ$13)="",10^12,OFFSET(CRONOPLE!$F$14,$M20,AQ$13))))</f>
        <v>2</v>
      </c>
      <c r="AR20" s="216">
        <f ca="1">IF($D20&lt;&gt;"Serviço",0,IF(AND(AUTOEVENTO="Manual",$M20=1),0,IF(OFFSET(CRONOPLE!$F$14,$M20,AR$13)="",10^12,OFFSET(CRONOPLE!$F$14,$M20,AR$13))))</f>
        <v>2</v>
      </c>
      <c r="AS20" s="216">
        <f ca="1">IF($D20&lt;&gt;"Serviço",0,IF(AND(AUTOEVENTO="Manual",$M20=1),0,IF(OFFSET(CRONOPLE!$F$14,$M20,AS$13)="",10^12,OFFSET(CRONOPLE!$F$14,$M20,AS$13))))</f>
        <v>2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hidden="1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6" t="str">
        <f ca="1">OFFSET(ORÇAMENTO!N$15,ROW(D21)-ROW(D$15),0)</f>
        <v>Serviço</v>
      </c>
      <c r="E21" s="206" t="str">
        <f ca="1">OFFSET(ORÇAMENTO!O$15,ROW(E21)-ROW(E$15),0)</f>
        <v>-</v>
      </c>
      <c r="F21" s="207" t="str">
        <f ca="1">OFFSET(ORÇAMENTO!R$15,ROW(F21)-ROW(F$15),0)</f>
        <v>(Sem Código)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SERVIÇOS PRELIMINARES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</v>
      </c>
      <c r="AN21" s="216">
        <f ca="1">IF($D21&lt;&gt;"Serviço",0,IF(AND(AUTOEVENTO="Manual",$M21=1),0,IF(OFFSET(CRONOPLE!$F$14,$M21,AN$13)="",10^12,OFFSET(CRONOPLE!$F$14,$M21,AN$13))))</f>
        <v>1</v>
      </c>
      <c r="AO21" s="216">
        <f ca="1">IF($D21&lt;&gt;"Serviço",0,IF(AND(AUTOEVENTO="Manual",$M21=1),0,IF(OFFSET(CRONOPLE!$F$14,$M21,AO$13)="",10^12,OFFSET(CRONOPLE!$F$14,$M21,AO$13))))</f>
        <v>1</v>
      </c>
      <c r="AP21" s="216">
        <f ca="1">IF($D21&lt;&gt;"Serviço",0,IF(AND(AUTOEVENTO="Manual",$M21=1),0,IF(OFFSET(CRONOPLE!$F$14,$M21,AP$13)="",10^12,OFFSET(CRONOPLE!$F$14,$M21,AP$13))))</f>
        <v>1</v>
      </c>
      <c r="AQ21" s="216">
        <f ca="1">IF($D21&lt;&gt;"Serviço",0,IF(AND(AUTOEVENTO="Manual",$M21=1),0,IF(OFFSET(CRONOPLE!$F$14,$M21,AQ$13)="",10^12,OFFSET(CRONOPLE!$F$14,$M21,AQ$13))))</f>
        <v>2</v>
      </c>
      <c r="AR21" s="216">
        <f ca="1">IF($D21&lt;&gt;"Serviço",0,IF(AND(AUTOEVENTO="Manual",$M21=1),0,IF(OFFSET(CRONOPLE!$F$14,$M21,AR$13)="",10^12,OFFSET(CRONOPLE!$F$14,$M21,AR$13))))</f>
        <v>2</v>
      </c>
      <c r="AS21" s="216">
        <f ca="1">IF($D21&lt;&gt;"Serviço",0,IF(AND(AUTOEVENTO="Manual",$M21=1),0,IF(OFFSET(CRONOPLE!$F$14,$M21,AS$13)="",10^12,OFFSET(CRONOPLE!$F$14,$M21,AS$13))))</f>
        <v>2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7.</v>
      </c>
      <c r="B22" s="9">
        <f ca="1">OFFSET(ORÇAMENTO!C$15,ROW(B22)-ROW(B$15),0)</f>
        <v>2</v>
      </c>
      <c r="C22" s="9" t="str">
        <f ca="1">OFFSET(ORÇAMENTO!L$15,ROW(C22)-ROW(C$15),0)</f>
        <v>F</v>
      </c>
      <c r="D22" s="146" t="str">
        <f ca="1">OFFSET(ORÇAMENTO!N$15,ROW(D22)-ROW(D$15),0)</f>
        <v>Nível 2</v>
      </c>
      <c r="E22" s="206" t="str">
        <f ca="1">OFFSET(ORÇAMENTO!O$15,ROW(E22)-ROW(E$15),0)</f>
        <v>1.2.</v>
      </c>
      <c r="F22" s="207" t="str">
        <f ca="1">OFFSET(ORÇAMENTO!R$15,ROW(F22)-ROW(F$15),0)</f>
        <v>REPERFILAMENTO ASFÁLTICO</v>
      </c>
      <c r="G22" s="208" t="str">
        <f ca="1">IF($D22&lt;&gt;"Serviço","",OFFSET(ORÇAMENTO!S$15,ROW(G22)-ROW(G$15),0))</f>
        <v/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212" t="str">
        <f ca="1">IF($D22&lt;&gt;"Serviço","",IF(AUTOEVENTO="Manual",IF($A22=0,"&lt;-- defina o número do agrupador",OFFSET(EVENTOS!$D$14,$A22,0)),OFFSET($F$15,$A22,0)))</f>
        <v/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0</v>
      </c>
      <c r="AN22" s="216">
        <f ca="1">IF($D22&lt;&gt;"Serviço",0,IF(AND(AUTOEVENTO="Manual",$M22=1),0,IF(OFFSET(CRONOPLE!$F$14,$M22,AN$13)="",10^12,OFFSET(CRONOPLE!$F$14,$M22,AN$13))))</f>
        <v>0</v>
      </c>
      <c r="AO22" s="216">
        <f ca="1">IF($D22&lt;&gt;"Serviço",0,IF(AND(AUTOEVENTO="Manual",$M22=1),0,IF(OFFSET(CRONOPLE!$F$14,$M22,AO$13)="",10^12,OFFSET(CRONOPLE!$F$14,$M22,AO$13))))</f>
        <v>0</v>
      </c>
      <c r="AP22" s="216">
        <f ca="1">IF($D22&lt;&gt;"Serviço",0,IF(AND(AUTOEVENTO="Manual",$M22=1),0,IF(OFFSET(CRONOPLE!$F$14,$M22,AP$13)="",10^12,OFFSET(CRONOPLE!$F$14,$M22,AP$13))))</f>
        <v>0</v>
      </c>
      <c r="AQ22" s="216">
        <f ca="1">IF($D22&lt;&gt;"Serviço",0,IF(AND(AUTOEVENTO="Manual",$M22=1),0,IF(OFFSET(CRONOPLE!$F$14,$M22,AQ$13)="",10^12,OFFSET(CRONOPLE!$F$14,$M22,AQ$13))))</f>
        <v>0</v>
      </c>
      <c r="AR22" s="216">
        <f ca="1">IF($D22&lt;&gt;"Serviço",0,IF(AND(AUTOEVENTO="Manual",$M22=1),0,IF(OFFSET(CRONOPLE!$F$14,$M22,AR$13)="",10^12,OFFSET(CRONOPLE!$F$14,$M22,AR$13))))</f>
        <v>0</v>
      </c>
      <c r="AS22" s="216">
        <f ca="1">IF($D22&lt;&gt;"Serviço",0,IF(AND(AUTOEVENTO="Manual",$M22=1),0,IF(OFFSET(CRONOPLE!$F$14,$M22,AS$13)="",10^12,OFFSET(CRONOPLE!$F$14,$M22,AS$13))))</f>
        <v>0</v>
      </c>
      <c r="AT22" s="216">
        <f ca="1">IF($D22&lt;&gt;"Serviço",0,IF(AND(AUTOEVENTO="Manual",$M22=1),0,IF(OFFSET(CRONOPLE!$F$14,$M22,AT$13)="",10^12,OFFSET(CRONOPLE!$F$14,$M22,AT$13))))</f>
        <v>0</v>
      </c>
      <c r="AU22" s="216">
        <f ca="1">IF($D22&lt;&gt;"Serviço",0,IF(AND(AUTOEVENTO="Manual",$M22=1),0,IF(OFFSET(CRONOPLE!$F$14,$M22,AU$13)="",10^12,OFFSET(CRONOPLE!$F$14,$M22,AU$13))))</f>
        <v>0</v>
      </c>
      <c r="AV22" s="216">
        <f ca="1">IF($D22&lt;&gt;"Serviço",0,IF(AND(AUTOEVENTO="Manual",$M22=1),0,IF(OFFSET(CRONOPLE!$F$14,$M22,AV$13)="",10^12,OFFSET(CRONOPLE!$F$14,$M22,AV$13))))</f>
        <v>0</v>
      </c>
      <c r="AX22" s="217">
        <f ca="1">IF($D22&lt;&gt;"Serviço",0,IF(OR(AND(AUTOEVENTO="Manual",$M22=1),$M22&gt;(ROW(PLE.lastrow)-ROW(PLE.firstrow))),0,IF(OFFSET(PLE!$G$14,$M22,AX$13)="",10^12,OFFSET(PLE!$G$14,$M22,AX$13))))</f>
        <v>0</v>
      </c>
      <c r="AY22" s="217">
        <f ca="1">IF($D22&lt;&gt;"Serviço",0,IF(OR(AND(AUTOEVENTO="Manual",$M22=1),$M22&gt;(ROW(PLE.lastrow)-ROW(PLE.firstrow))),0,IF(OFFSET(PLE!$G$14,$M22,AY$13)="",10^12,OFFSET(PLE!$G$14,$M22,AY$13))))</f>
        <v>0</v>
      </c>
      <c r="AZ22" s="217">
        <f ca="1">IF($D22&lt;&gt;"Serviço",0,IF(OR(AND(AUTOEVENTO="Manual",$M22=1),$M22&gt;(ROW(PLE.lastrow)-ROW(PLE.firstrow))),0,IF(OFFSET(PLE!$G$14,$M22,AZ$13)="",10^12,OFFSET(PLE!$G$14,$M22,AZ$13))))</f>
        <v>0</v>
      </c>
      <c r="BA22" s="217">
        <f ca="1">IF($D22&lt;&gt;"Serviço",0,IF(OR(AND(AUTOEVENTO="Manual",$M22=1),$M22&gt;(ROW(PLE.lastrow)-ROW(PLE.firstrow))),0,IF(OFFSET(PLE!$G$14,$M22,BA$13)="",10^12,OFFSET(PLE!$G$14,$M22,BA$13))))</f>
        <v>0</v>
      </c>
      <c r="BB22" s="217">
        <f ca="1">IF($D22&lt;&gt;"Serviço",0,IF(OR(AND(AUTOEVENTO="Manual",$M22=1),$M22&gt;(ROW(PLE.lastrow)-ROW(PLE.firstrow))),0,IF(OFFSET(PLE!$G$14,$M22,BB$13)="",10^12,OFFSET(PLE!$G$14,$M22,BB$13))))</f>
        <v>0</v>
      </c>
      <c r="BC22" s="217">
        <f ca="1">IF($D22&lt;&gt;"Serviço",0,IF(OR(AND(AUTOEVENTO="Manual",$M22=1),$M22&gt;(ROW(PLE.lastrow)-ROW(PLE.firstrow))),0,IF(OFFSET(PLE!$G$14,$M22,BC$13)="",10^12,OFFSET(PLE!$G$14,$M22,BC$13))))</f>
        <v>0</v>
      </c>
      <c r="BD22" s="217">
        <f ca="1">IF($D22&lt;&gt;"Serviço",0,IF(OR(AND(AUTOEVENTO="Manual",$M22=1),$M22&gt;(ROW(PLE.lastrow)-ROW(PLE.firstrow))),0,IF(OFFSET(PLE!$G$14,$M22,BD$13)="",10^12,OFFSET(PLE!$G$14,$M22,BD$13))))</f>
        <v>0</v>
      </c>
      <c r="BE22" s="217">
        <f ca="1">IF($D22&lt;&gt;"Serviço",0,IF(OR(AND(AUTOEVENTO="Manual",$M22=1),$M22&gt;(ROW(PLE.lastrow)-ROW(PLE.firstrow))),0,IF(OFFSET(PLE!$G$14,$M22,BE$13)="",10^12,OFFSET(PLE!$G$14,$M22,BE$13))))</f>
        <v>0</v>
      </c>
      <c r="BF22" s="217">
        <f ca="1">IF($D22&lt;&gt;"Serviço",0,IF(OR(AND(AUTOEVENTO="Manual",$M22=1),$M22&gt;(ROW(PLE.lastrow)-ROW(PLE.firstrow))),0,IF(OFFSET(PLE!$G$14,$M22,BF$13)="",10^12,OFFSET(PLE!$G$14,$M22,BF$13))))</f>
        <v>0</v>
      </c>
      <c r="BG22" s="217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12.75" hidden="1" x14ac:dyDescent="0.2">
      <c r="A23" s="9" t="str">
        <f t="shared" ca="1" si="8"/>
        <v>7</v>
      </c>
      <c r="B23" s="9" t="str">
        <f ca="1">OFFSET(ORÇAMENTO!C$15,ROW(B23)-ROW(B$15),0)</f>
        <v>S</v>
      </c>
      <c r="C23" s="9" t="str">
        <f ca="1">OFFSET(ORÇAMENTO!L$15,ROW(C23)-ROW(C$15),0)</f>
        <v/>
      </c>
      <c r="D23" s="146" t="str">
        <f ca="1">OFFSET(ORÇAMENTO!N$15,ROW(D23)-ROW(D$15),0)</f>
        <v>Serviço</v>
      </c>
      <c r="E23" s="206" t="str">
        <f ca="1">OFFSET(ORÇAMENTO!O$15,ROW(E23)-ROW(E$15),0)</f>
        <v>-</v>
      </c>
      <c r="F23" s="207" t="str">
        <f ca="1">OFFSET(ORÇAMENTO!R$15,ROW(F23)-ROW(F$15),0)</f>
        <v>(Sem Código)</v>
      </c>
      <c r="G23" s="208" t="str">
        <f ca="1">IF($D23&lt;&gt;"Serviço","",OFFSET(ORÇAMENTO!S$15,ROW(G23)-ROW(G$15),0))</f>
        <v>-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0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212" t="str">
        <f ca="1">IF($D23&lt;&gt;"Serviço","",IF(AUTOEVENTO="Manual",IF($A23=0,"&lt;-- defina o número do agrupador",OFFSET(EVENTOS!$D$14,$A23,0)),OFFSET($F$15,$A23,0)))</f>
        <v>REPERFILAMENTO ASFÁLTICO</v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</v>
      </c>
      <c r="AN23" s="216">
        <f ca="1">IF($D23&lt;&gt;"Serviço",0,IF(AND(AUTOEVENTO="Manual",$M23=1),0,IF(OFFSET(CRONOPLE!$F$14,$M23,AN$13)="",10^12,OFFSET(CRONOPLE!$F$14,$M23,AN$13))))</f>
        <v>1</v>
      </c>
      <c r="AO23" s="216">
        <f ca="1">IF($D23&lt;&gt;"Serviço",0,IF(AND(AUTOEVENTO="Manual",$M23=1),0,IF(OFFSET(CRONOPLE!$F$14,$M23,AO$13)="",10^12,OFFSET(CRONOPLE!$F$14,$M23,AO$13))))</f>
        <v>1</v>
      </c>
      <c r="AP23" s="216">
        <f ca="1">IF($D23&lt;&gt;"Serviço",0,IF(AND(AUTOEVENTO="Manual",$M23=1),0,IF(OFFSET(CRONOPLE!$F$14,$M23,AP$13)="",10^12,OFFSET(CRONOPLE!$F$14,$M23,AP$13))))</f>
        <v>1</v>
      </c>
      <c r="AQ23" s="216">
        <f ca="1">IF($D23&lt;&gt;"Serviço",0,IF(AND(AUTOEVENTO="Manual",$M23=1),0,IF(OFFSET(CRONOPLE!$F$14,$M23,AQ$13)="",10^12,OFFSET(CRONOPLE!$F$14,$M23,AQ$13))))</f>
        <v>2</v>
      </c>
      <c r="AR23" s="216">
        <f ca="1">IF($D23&lt;&gt;"Serviço",0,IF(AND(AUTOEVENTO="Manual",$M23=1),0,IF(OFFSET(CRONOPLE!$F$14,$M23,AR$13)="",10^12,OFFSET(CRONOPLE!$F$14,$M23,AR$13))))</f>
        <v>2</v>
      </c>
      <c r="AS23" s="216">
        <f ca="1">IF($D23&lt;&gt;"Serviço",0,IF(AND(AUTOEVENTO="Manual",$M23=1),0,IF(OFFSET(CRONOPLE!$F$14,$M23,AS$13)="",10^12,OFFSET(CRONOPLE!$F$14,$M23,AS$13))))</f>
        <v>2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25.5" x14ac:dyDescent="0.2">
      <c r="A24" s="9" t="str">
        <f t="shared" ca="1" si="8"/>
        <v>7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1.2.1.</v>
      </c>
      <c r="F24" s="207" t="str">
        <f ca="1">OFFSET(ORÇAMENTO!R$15,ROW(F24)-ROW(F$15),0)</f>
        <v>PINTURA DE LIGAÇÃO COM RR-1C - EXCLUSIVE EMULSÃO</v>
      </c>
      <c r="G24" s="208" t="str">
        <f ca="1">IF($D24&lt;&gt;"Serviço","",OFFSET(ORÇAMENTO!S$15,ROW(G24)-ROW(G$15),0))</f>
        <v>M2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7369.47</v>
      </c>
      <c r="I24" s="612" t="s">
        <v>493</v>
      </c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 t="str">
        <f ca="1">IF($D24&lt;&gt;"Serviço","",IF(AUTOEVENTO="Manual",IF($A24=0,"&lt;-- defina o número do agrupador",OFFSET(EVENTOS!$D$14,$A24,0)),OFFSET($F$15,$A24,0)))</f>
        <v>REPERFILAMENTO ASFÁLTICO</v>
      </c>
      <c r="O24" s="213"/>
      <c r="Q24" s="213">
        <f t="shared" ref="Q24:W24" si="9">Q19</f>
        <v>796.83</v>
      </c>
      <c r="R24" s="214">
        <f t="shared" si="9"/>
        <v>903.06</v>
      </c>
      <c r="S24" s="214">
        <f t="shared" si="9"/>
        <v>931</v>
      </c>
      <c r="T24" s="214">
        <f t="shared" si="9"/>
        <v>692.05</v>
      </c>
      <c r="U24" s="214">
        <f t="shared" si="9"/>
        <v>1444.21</v>
      </c>
      <c r="V24" s="214">
        <f t="shared" si="9"/>
        <v>1135.77</v>
      </c>
      <c r="W24" s="214">
        <f t="shared" si="9"/>
        <v>1466.55</v>
      </c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215.1444351900476</v>
      </c>
      <c r="AC24" s="594">
        <f ca="1">IF(AND($D24="Serviço",AC$12&lt;&gt;0,$H24&gt;0,OR(AUTOEVENTO&lt;&gt;"manual",$M24&lt;&gt;1)),ROUND(OFFSET($P24,0,AC$13),15-13*ORÇAMENTO!$AF$7)/$H24*OFFSET(ORÇAMENTO!$X$15,ROW(AC24)-ROW(AC$15),0),0)</f>
        <v>243.82657987616477</v>
      </c>
      <c r="AD24" s="594">
        <f ca="1">IF(AND($D24="Serviço",AD$12&lt;&gt;0,$H24&gt;0,OR(AUTOEVENTO&lt;&gt;"manual",$M24&lt;&gt;1)),ROUND(OFFSET($P24,0,AD$13),15-13*ORÇAMENTO!$AF$7)/$H24*OFFSET(ORÇAMENTO!$X$15,ROW(AD24)-ROW(AD$15),0),0)</f>
        <v>251.37039162924876</v>
      </c>
      <c r="AE24" s="594">
        <f ca="1">IF(AND($D24="Serviço",AE$12&lt;&gt;0,$H24&gt;0,OR(AUTOEVENTO&lt;&gt;"manual",$M24&lt;&gt;1)),ROUND(OFFSET($P24,0,AE$13),15-13*ORÇAMENTO!$AF$7)/$H24*OFFSET(ORÇAMENTO!$X$15,ROW(AE24)-ROW(AE$15),0),0)</f>
        <v>186.85379111387928</v>
      </c>
      <c r="AF24" s="594">
        <f ca="1">IF(AND($D24="Serviço",AF$12&lt;&gt;0,$H24&gt;0,OR(AUTOEVENTO&lt;&gt;"manual",$M24&lt;&gt;1)),ROUND(OFFSET($P24,0,AF$13),15-13*ORÇAMENTO!$AF$7)/$H24*OFFSET(ORÇAMENTO!$X$15,ROW(AF24)-ROW(AF$15),0),0)</f>
        <v>389.93730751329474</v>
      </c>
      <c r="AG24" s="594">
        <f ca="1">IF(AND($D24="Serviço",AG$12&lt;&gt;0,$H24&gt;0,OR(AUTOEVENTO&lt;&gt;"manual",$M24&lt;&gt;1)),ROUND(OFFSET($P24,0,AG$13),15-13*ORÇAMENTO!$AF$7)/$H24*OFFSET(ORÇAMENTO!$X$15,ROW(AG24)-ROW(AG$15),0),0)</f>
        <v>306.65837776665074</v>
      </c>
      <c r="AH24" s="594">
        <f ca="1">IF(AND($D24="Serviço",AH$12&lt;&gt;0,$H24&gt;0,OR(AUTOEVENTO&lt;&gt;"manual",$M24&lt;&gt;1)),ROUND(OFFSET($P24,0,AH$13),15-13*ORÇAMENTO!$AF$7)/$H24*OFFSET(ORÇAMENTO!$X$15,ROW(AH24)-ROW(AH$15),0),0)</f>
        <v>395.96911691071404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</v>
      </c>
      <c r="AN24" s="216">
        <f ca="1">IF($D24&lt;&gt;"Serviço",0,IF(AND(AUTOEVENTO="Manual",$M24=1),0,IF(OFFSET(CRONOPLE!$F$14,$M24,AN$13)="",10^12,OFFSET(CRONOPLE!$F$14,$M24,AN$13))))</f>
        <v>1</v>
      </c>
      <c r="AO24" s="216">
        <f ca="1">IF($D24&lt;&gt;"Serviço",0,IF(AND(AUTOEVENTO="Manual",$M24=1),0,IF(OFFSET(CRONOPLE!$F$14,$M24,AO$13)="",10^12,OFFSET(CRONOPLE!$F$14,$M24,AO$13))))</f>
        <v>1</v>
      </c>
      <c r="AP24" s="216">
        <f ca="1">IF($D24&lt;&gt;"Serviço",0,IF(AND(AUTOEVENTO="Manual",$M24=1),0,IF(OFFSET(CRONOPLE!$F$14,$M24,AP$13)="",10^12,OFFSET(CRONOPLE!$F$14,$M24,AP$13))))</f>
        <v>1</v>
      </c>
      <c r="AQ24" s="216">
        <f ca="1">IF($D24&lt;&gt;"Serviço",0,IF(AND(AUTOEVENTO="Manual",$M24=1),0,IF(OFFSET(CRONOPLE!$F$14,$M24,AQ$13)="",10^12,OFFSET(CRONOPLE!$F$14,$M24,AQ$13))))</f>
        <v>2</v>
      </c>
      <c r="AR24" s="216">
        <f ca="1">IF($D24&lt;&gt;"Serviço",0,IF(AND(AUTOEVENTO="Manual",$M24=1),0,IF(OFFSET(CRONOPLE!$F$14,$M24,AR$13)="",10^12,OFFSET(CRONOPLE!$F$14,$M24,AR$13))))</f>
        <v>2</v>
      </c>
      <c r="AS24" s="216">
        <f ca="1">IF($D24&lt;&gt;"Serviço",0,IF(AND(AUTOEVENTO="Manual",$M24=1),0,IF(OFFSET(CRONOPLE!$F$14,$M24,AS$13)="",10^12,OFFSET(CRONOPLE!$F$14,$M24,AS$13))))</f>
        <v>2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x14ac:dyDescent="0.2">
      <c r="A25" s="9" t="str">
        <f t="shared" ca="1" si="8"/>
        <v>7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1.2.2.</v>
      </c>
      <c r="F25" s="207" t="str">
        <f ca="1">OFFSET(ORÇAMENTO!R$15,ROW(F25)-ROW(F$15),0)</f>
        <v>FORNECIMENTO DE EMULSÃO RR-1C PARA PINTURA DE LIGAÇÃO</v>
      </c>
      <c r="G25" s="208" t="str">
        <f ca="1">IF($D25&lt;&gt;"Serviço","",OFFSET(ORÇAMENTO!S$15,ROW(G25)-ROW(G$15),0))</f>
        <v>TON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3.6899999999999995</v>
      </c>
      <c r="I25" s="612" t="s">
        <v>496</v>
      </c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 t="str">
        <f ca="1">IF($D25&lt;&gt;"Serviço","",IF(AUTOEVENTO="Manual",IF($A25=0,"&lt;-- defina o número do agrupador",OFFSET(EVENTOS!$D$14,$A25,0)),OFFSET($F$15,$A25,0)))</f>
        <v>REPERFILAMENTO ASFÁLTICO</v>
      </c>
      <c r="O25" s="213"/>
      <c r="Q25" s="213">
        <f t="shared" ref="Q25:W25" si="10">Q24*0.0005</f>
        <v>0.39841500000000002</v>
      </c>
      <c r="R25" s="214">
        <f t="shared" si="10"/>
        <v>0.45152999999999999</v>
      </c>
      <c r="S25" s="214">
        <f t="shared" si="10"/>
        <v>0.46550000000000002</v>
      </c>
      <c r="T25" s="214">
        <f t="shared" si="10"/>
        <v>0.34602499999999997</v>
      </c>
      <c r="U25" s="214">
        <f t="shared" si="10"/>
        <v>0.722105</v>
      </c>
      <c r="V25" s="214">
        <f t="shared" si="10"/>
        <v>0.56788499999999997</v>
      </c>
      <c r="W25" s="214">
        <f t="shared" si="10"/>
        <v>0.73327500000000001</v>
      </c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1222.8682926829269</v>
      </c>
      <c r="AC25" s="594">
        <f ca="1">IF(AND($D25="Serviço",AC$12&lt;&gt;0,$H25&gt;0,OR(AUTOEVENTO&lt;&gt;"manual",$M25&lt;&gt;1)),ROUND(OFFSET($P25,0,AC$13),15-13*ORÇAMENTO!$AF$7)/$H25*OFFSET(ORÇAMENTO!$X$15,ROW(AC25)-ROW(AC$15),0),0)</f>
        <v>1375.7268292682929</v>
      </c>
      <c r="AD25" s="594">
        <f ca="1">IF(AND($D25="Serviço",AD$12&lt;&gt;0,$H25&gt;0,OR(AUTOEVENTO&lt;&gt;"manual",$M25&lt;&gt;1)),ROUND(OFFSET($P25,0,AD$13),15-13*ORÇAMENTO!$AF$7)/$H25*OFFSET(ORÇAMENTO!$X$15,ROW(AD25)-ROW(AD$15),0),0)</f>
        <v>1436.8702439024389</v>
      </c>
      <c r="AE25" s="594">
        <f ca="1">IF(AND($D25="Serviço",AE$12&lt;&gt;0,$H25&gt;0,OR(AUTOEVENTO&lt;&gt;"manual",$M25&lt;&gt;1)),ROUND(OFFSET($P25,0,AE$13),15-13*ORÇAMENTO!$AF$7)/$H25*OFFSET(ORÇAMENTO!$X$15,ROW(AE25)-ROW(AE$15),0),0)</f>
        <v>1070.009756097561</v>
      </c>
      <c r="AF25" s="594">
        <f ca="1">IF(AND($D25="Serviço",AF$12&lt;&gt;0,$H25&gt;0,OR(AUTOEVENTO&lt;&gt;"manual",$M25&lt;&gt;1)),ROUND(OFFSET($P25,0,AF$13),15-13*ORÇAMENTO!$AF$7)/$H25*OFFSET(ORÇAMENTO!$X$15,ROW(AF25)-ROW(AF$15),0),0)</f>
        <v>2201.1629268292681</v>
      </c>
      <c r="AG25" s="594">
        <f ca="1">IF(AND($D25="Serviço",AG$12&lt;&gt;0,$H25&gt;0,OR(AUTOEVENTO&lt;&gt;"manual",$M25&lt;&gt;1)),ROUND(OFFSET($P25,0,AG$13),15-13*ORÇAMENTO!$AF$7)/$H25*OFFSET(ORÇAMENTO!$X$15,ROW(AG25)-ROW(AG$15),0),0)</f>
        <v>1742.5873170731707</v>
      </c>
      <c r="AH25" s="594">
        <f ca="1">IF(AND($D25="Serviço",AH$12&lt;&gt;0,$H25&gt;0,OR(AUTOEVENTO&lt;&gt;"manual",$M25&lt;&gt;1)),ROUND(OFFSET($P25,0,AH$13),15-13*ORÇAMENTO!$AF$7)/$H25*OFFSET(ORÇAMENTO!$X$15,ROW(AH25)-ROW(AH$15),0),0)</f>
        <v>2231.7346341463417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</v>
      </c>
      <c r="AN25" s="216">
        <f ca="1">IF($D25&lt;&gt;"Serviço",0,IF(AND(AUTOEVENTO="Manual",$M25=1),0,IF(OFFSET(CRONOPLE!$F$14,$M25,AN$13)="",10^12,OFFSET(CRONOPLE!$F$14,$M25,AN$13))))</f>
        <v>1</v>
      </c>
      <c r="AO25" s="216">
        <f ca="1">IF($D25&lt;&gt;"Serviço",0,IF(AND(AUTOEVENTO="Manual",$M25=1),0,IF(OFFSET(CRONOPLE!$F$14,$M25,AO$13)="",10^12,OFFSET(CRONOPLE!$F$14,$M25,AO$13))))</f>
        <v>1</v>
      </c>
      <c r="AP25" s="216">
        <f ca="1">IF($D25&lt;&gt;"Serviço",0,IF(AND(AUTOEVENTO="Manual",$M25=1),0,IF(OFFSET(CRONOPLE!$F$14,$M25,AP$13)="",10^12,OFFSET(CRONOPLE!$F$14,$M25,AP$13))))</f>
        <v>1</v>
      </c>
      <c r="AQ25" s="216">
        <f ca="1">IF($D25&lt;&gt;"Serviço",0,IF(AND(AUTOEVENTO="Manual",$M25=1),0,IF(OFFSET(CRONOPLE!$F$14,$M25,AQ$13)="",10^12,OFFSET(CRONOPLE!$F$14,$M25,AQ$13))))</f>
        <v>2</v>
      </c>
      <c r="AR25" s="216">
        <f ca="1">IF($D25&lt;&gt;"Serviço",0,IF(AND(AUTOEVENTO="Manual",$M25=1),0,IF(OFFSET(CRONOPLE!$F$14,$M25,AR$13)="",10^12,OFFSET(CRONOPLE!$F$14,$M25,AR$13))))</f>
        <v>2</v>
      </c>
      <c r="AS25" s="216">
        <f ca="1">IF($D25&lt;&gt;"Serviço",0,IF(AND(AUTOEVENTO="Manual",$M25=1),0,IF(OFFSET(CRONOPLE!$F$14,$M25,AS$13)="",10^12,OFFSET(CRONOPLE!$F$14,$M25,AS$13))))</f>
        <v>2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91.25" x14ac:dyDescent="0.2">
      <c r="A26" s="9" t="str">
        <f t="shared" ca="1" si="8"/>
        <v>7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1.2.3.</v>
      </c>
      <c r="F26" s="207" t="str">
        <f ca="1">OFFSET(ORÇAMENTO!R$15,ROW(F26)-ROW(F$15),0)</f>
        <v>CBUQ (QUANTIDADE MENOR QUE 10000 TON)</v>
      </c>
      <c r="G26" s="208" t="str">
        <f ca="1">IF($D26&lt;&gt;"Serviço","",OFFSET(ORÇAMENTO!S$15,ROW(G26)-ROW(G$15),0))</f>
        <v>TON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285.86</v>
      </c>
      <c r="I26" s="612" t="s">
        <v>494</v>
      </c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 t="str">
        <f ca="1">IF($D26&lt;&gt;"Serviço","",IF(AUTOEVENTO="Manual",IF($A26=0,"&lt;-- defina o número do agrupador",OFFSET(EVENTOS!$D$14,$A26,0)),OFFSET($F$15,$A26,0)))</f>
        <v>REPERFILAMENTO ASFÁLTICO</v>
      </c>
      <c r="O26" s="213"/>
      <c r="Q26" s="213">
        <f t="shared" ref="Q26:W26" si="11">Q24*0.015*2.586</f>
        <v>30.9090357</v>
      </c>
      <c r="R26" s="214">
        <f t="shared" si="11"/>
        <v>35.029697399999989</v>
      </c>
      <c r="S26" s="214">
        <f t="shared" si="11"/>
        <v>36.113489999999999</v>
      </c>
      <c r="T26" s="214">
        <f t="shared" si="11"/>
        <v>26.844619499999997</v>
      </c>
      <c r="U26" s="214">
        <f t="shared" si="11"/>
        <v>56.020905899999995</v>
      </c>
      <c r="V26" s="214">
        <f t="shared" si="11"/>
        <v>44.056518299999993</v>
      </c>
      <c r="W26" s="214">
        <f t="shared" si="11"/>
        <v>56.887474499999996</v>
      </c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5840.1355730077657</v>
      </c>
      <c r="AC26" s="594">
        <f ca="1">IF(AND($D26="Serviço",AC$12&lt;&gt;0,$H26&gt;0,OR(AUTOEVENTO&lt;&gt;"manual",$M26&lt;&gt;1)),ROUND(OFFSET($P26,0,AC$13),15-13*ORÇAMENTO!$AF$7)/$H26*OFFSET(ORÇAMENTO!$X$15,ROW(AC26)-ROW(AC$15),0),0)</f>
        <v>6618.5683960680053</v>
      </c>
      <c r="AD26" s="594">
        <f ca="1">IF(AND($D26="Serviço",AD$12&lt;&gt;0,$H26&gt;0,OR(AUTOEVENTO&lt;&gt;"manual",$M26&lt;&gt;1)),ROUND(OFFSET($P26,0,AD$13),15-13*ORÇAMENTO!$AF$7)/$H26*OFFSET(ORÇAMENTO!$X$15,ROW(AD26)-ROW(AD$15),0),0)</f>
        <v>6822.6236021129216</v>
      </c>
      <c r="AE26" s="594">
        <f ca="1">IF(AND($D26="Serviço",AE$12&lt;&gt;0,$H26&gt;0,OR(AUTOEVENTO&lt;&gt;"manual",$M26&lt;&gt;1)),ROUND(OFFSET($P26,0,AE$13),15-13*ORÇAMENTO!$AF$7)/$H26*OFFSET(ORÇAMENTO!$X$15,ROW(AE26)-ROW(AE$15),0),0)</f>
        <v>5071.1497502273833</v>
      </c>
      <c r="AF26" s="594">
        <f ca="1">IF(AND($D26="Serviço",AF$12&lt;&gt;0,$H26&gt;0,OR(AUTOEVENTO&lt;&gt;"manual",$M26&lt;&gt;1)),ROUND(OFFSET($P26,0,AF$13),15-13*ORÇAMENTO!$AF$7)/$H26*OFFSET(ORÇAMENTO!$X$15,ROW(AF26)-ROW(AF$15),0),0)</f>
        <v>10584.419113552089</v>
      </c>
      <c r="AG26" s="594">
        <f ca="1">IF(AND($D26="Serviço",AG$12&lt;&gt;0,$H26&gt;0,OR(AUTOEVENTO&lt;&gt;"manual",$M26&lt;&gt;1)),ROUND(OFFSET($P26,0,AG$13),15-13*ORÇAMENTO!$AF$7)/$H26*OFFSET(ORÇAMENTO!$X$15,ROW(AG26)-ROW(AG$15),0),0)</f>
        <v>8324.6966466102294</v>
      </c>
      <c r="AH26" s="594">
        <f ca="1">IF(AND($D26="Serviço",AH$12&lt;&gt;0,$H26&gt;0,OR(AUTOEVENTO&lt;&gt;"manual",$M26&lt;&gt;1)),ROUND(OFFSET($P26,0,AH$13),15-13*ORÇAMENTO!$AF$7)/$H26*OFFSET(ORÇAMENTO!$X$15,ROW(AH26)-ROW(AH$15),0),0)</f>
        <v>10748.796918421604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</v>
      </c>
      <c r="AN26" s="216">
        <f ca="1">IF($D26&lt;&gt;"Serviço",0,IF(AND(AUTOEVENTO="Manual",$M26=1),0,IF(OFFSET(CRONOPLE!$F$14,$M26,AN$13)="",10^12,OFFSET(CRONOPLE!$F$14,$M26,AN$13))))</f>
        <v>1</v>
      </c>
      <c r="AO26" s="216">
        <f ca="1">IF($D26&lt;&gt;"Serviço",0,IF(AND(AUTOEVENTO="Manual",$M26=1),0,IF(OFFSET(CRONOPLE!$F$14,$M26,AO$13)="",10^12,OFFSET(CRONOPLE!$F$14,$M26,AO$13))))</f>
        <v>1</v>
      </c>
      <c r="AP26" s="216">
        <f ca="1">IF($D26&lt;&gt;"Serviço",0,IF(AND(AUTOEVENTO="Manual",$M26=1),0,IF(OFFSET(CRONOPLE!$F$14,$M26,AP$13)="",10^12,OFFSET(CRONOPLE!$F$14,$M26,AP$13))))</f>
        <v>1</v>
      </c>
      <c r="AQ26" s="216">
        <f ca="1">IF($D26&lt;&gt;"Serviço",0,IF(AND(AUTOEVENTO="Manual",$M26=1),0,IF(OFFSET(CRONOPLE!$F$14,$M26,AQ$13)="",10^12,OFFSET(CRONOPLE!$F$14,$M26,AQ$13))))</f>
        <v>2</v>
      </c>
      <c r="AR26" s="216">
        <f ca="1">IF($D26&lt;&gt;"Serviço",0,IF(AND(AUTOEVENTO="Manual",$M26=1),0,IF(OFFSET(CRONOPLE!$F$14,$M26,AR$13)="",10^12,OFFSET(CRONOPLE!$F$14,$M26,AR$13))))</f>
        <v>2</v>
      </c>
      <c r="AS26" s="216">
        <f ca="1">IF($D26&lt;&gt;"Serviço",0,IF(AND(AUTOEVENTO="Manual",$M26=1),0,IF(OFFSET(CRONOPLE!$F$14,$M26,AS$13)="",10^12,OFFSET(CRONOPLE!$F$14,$M26,AS$13))))</f>
        <v>2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x14ac:dyDescent="0.2">
      <c r="A27" s="9" t="str">
        <f t="shared" ca="1" si="8"/>
        <v>7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6" t="str">
        <f ca="1">OFFSET(ORÇAMENTO!N$15,ROW(D27)-ROW(D$15),0)</f>
        <v>Serviço</v>
      </c>
      <c r="E27" s="206" t="str">
        <f ca="1">OFFSET(ORÇAMENTO!O$15,ROW(E27)-ROW(E$15),0)</f>
        <v>1.2.4.</v>
      </c>
      <c r="F27" s="207" t="str">
        <f ca="1">OFFSET(ORÇAMENTO!R$15,ROW(F27)-ROW(F$15),0)</f>
        <v>FORNECIMENTO DE CAP PARA CBUQ (MENOR QUE 10000 TON)</v>
      </c>
      <c r="G27" s="208" t="str">
        <f ca="1">IF($D27&lt;&gt;"Serviço","",OFFSET(ORÇAMENTO!S$15,ROW(G27)-ROW(G$15),0))</f>
        <v>TON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14.02</v>
      </c>
      <c r="I27" s="612" t="s">
        <v>495</v>
      </c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 t="str">
        <f ca="1">IF($D27&lt;&gt;"Serviço","",IF(AUTOEVENTO="Manual",IF($A27=0,"&lt;-- defina o número do agrupador",OFFSET(EVENTOS!$D$14,$A27,0)),OFFSET($F$15,$A27,0)))</f>
        <v>REPERFILAMENTO ASFÁLTICO</v>
      </c>
      <c r="O27" s="213"/>
      <c r="Q27" s="213">
        <f t="shared" ref="Q27:W27" si="12">Q26*0.049</f>
        <v>1.5145427493000001</v>
      </c>
      <c r="R27" s="214">
        <f t="shared" si="12"/>
        <v>1.7164551725999995</v>
      </c>
      <c r="S27" s="214">
        <f t="shared" si="12"/>
        <v>1.7695610100000001</v>
      </c>
      <c r="T27" s="214">
        <f t="shared" si="12"/>
        <v>1.3153863554999998</v>
      </c>
      <c r="U27" s="214">
        <f t="shared" si="12"/>
        <v>2.7450243890999997</v>
      </c>
      <c r="V27" s="214">
        <f t="shared" si="12"/>
        <v>2.1587693966999999</v>
      </c>
      <c r="W27" s="214">
        <f t="shared" si="12"/>
        <v>2.7874862504999998</v>
      </c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6319.5158630527812</v>
      </c>
      <c r="AC27" s="594">
        <f ca="1">IF(AND($D27="Serviço",AC$12&lt;&gt;0,$H27&gt;0,OR(AUTOEVENTO&lt;&gt;"manual",$M27&lt;&gt;1)),ROUND(OFFSET($P27,0,AC$13),15-13*ORÇAMENTO!$AF$7)/$H27*OFFSET(ORÇAMENTO!$X$15,ROW(AC27)-ROW(AC$15),0),0)</f>
        <v>7198.3889300998571</v>
      </c>
      <c r="AD27" s="594">
        <f ca="1">IF(AND($D27="Serviço",AD$12&lt;&gt;0,$H27&gt;0,OR(AUTOEVENTO&lt;&gt;"manual",$M27&lt;&gt;1)),ROUND(OFFSET($P27,0,AD$13),15-13*ORÇAMENTO!$AF$7)/$H27*OFFSET(ORÇAMENTO!$X$15,ROW(AD27)-ROW(AD$15),0),0)</f>
        <v>7407.644422253923</v>
      </c>
      <c r="AE27" s="594">
        <f ca="1">IF(AND($D27="Serviço",AE$12&lt;&gt;0,$H27&gt;0,OR(AUTOEVENTO&lt;&gt;"manual",$M27&lt;&gt;1)),ROUND(OFFSET($P27,0,AE$13),15-13*ORÇAMENTO!$AF$7)/$H27*OFFSET(ORÇAMENTO!$X$15,ROW(AE27)-ROW(AE$15),0),0)</f>
        <v>5524.3449928673326</v>
      </c>
      <c r="AF27" s="594">
        <f ca="1">IF(AND($D27="Serviço",AF$12&lt;&gt;0,$H27&gt;0,OR(AUTOEVENTO&lt;&gt;"manual",$M27&lt;&gt;1)),ROUND(OFFSET($P27,0,AF$13),15-13*ORÇAMENTO!$AF$7)/$H27*OFFSET(ORÇAMENTO!$X$15,ROW(AF27)-ROW(AF$15),0),0)</f>
        <v>11509.052068473609</v>
      </c>
      <c r="AG27" s="594">
        <f ca="1">IF(AND($D27="Serviço",AG$12&lt;&gt;0,$H27&gt;0,OR(AUTOEVENTO&lt;&gt;"manual",$M27&lt;&gt;1)),ROUND(OFFSET($P27,0,AG$13),15-13*ORÇAMENTO!$AF$7)/$H27*OFFSET(ORÇAMENTO!$X$15,ROW(AG27)-ROW(AG$15),0),0)</f>
        <v>9039.8372610556362</v>
      </c>
      <c r="AH27" s="594">
        <f ca="1">IF(AND($D27="Serviço",AH$12&lt;&gt;0,$H27&gt;0,OR(AUTOEVENTO&lt;&gt;"manual",$M27&lt;&gt;1)),ROUND(OFFSET($P27,0,AH$13),15-13*ORÇAMENTO!$AF$7)/$H27*OFFSET(ORÇAMENTO!$X$15,ROW(AH27)-ROW(AH$15),0),0)</f>
        <v>11676.456462196862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</v>
      </c>
      <c r="AN27" s="216">
        <f ca="1">IF($D27&lt;&gt;"Serviço",0,IF(AND(AUTOEVENTO="Manual",$M27=1),0,IF(OFFSET(CRONOPLE!$F$14,$M27,AN$13)="",10^12,OFFSET(CRONOPLE!$F$14,$M27,AN$13))))</f>
        <v>1</v>
      </c>
      <c r="AO27" s="216">
        <f ca="1">IF($D27&lt;&gt;"Serviço",0,IF(AND(AUTOEVENTO="Manual",$M27=1),0,IF(OFFSET(CRONOPLE!$F$14,$M27,AO$13)="",10^12,OFFSET(CRONOPLE!$F$14,$M27,AO$13))))</f>
        <v>1</v>
      </c>
      <c r="AP27" s="216">
        <f ca="1">IF($D27&lt;&gt;"Serviço",0,IF(AND(AUTOEVENTO="Manual",$M27=1),0,IF(OFFSET(CRONOPLE!$F$14,$M27,AP$13)="",10^12,OFFSET(CRONOPLE!$F$14,$M27,AP$13))))</f>
        <v>1</v>
      </c>
      <c r="AQ27" s="216">
        <f ca="1">IF($D27&lt;&gt;"Serviço",0,IF(AND(AUTOEVENTO="Manual",$M27=1),0,IF(OFFSET(CRONOPLE!$F$14,$M27,AQ$13)="",10^12,OFFSET(CRONOPLE!$F$14,$M27,AQ$13))))</f>
        <v>2</v>
      </c>
      <c r="AR27" s="216">
        <f ca="1">IF($D27&lt;&gt;"Serviço",0,IF(AND(AUTOEVENTO="Manual",$M27=1),0,IF(OFFSET(CRONOPLE!$F$14,$M27,AR$13)="",10^12,OFFSET(CRONOPLE!$F$14,$M27,AR$13))))</f>
        <v>2</v>
      </c>
      <c r="AS27" s="216">
        <f ca="1">IF($D27&lt;&gt;"Serviço",0,IF(AND(AUTOEVENTO="Manual",$M27=1),0,IF(OFFSET(CRONOPLE!$F$14,$M27,AS$13)="",10^12,OFFSET(CRONOPLE!$F$14,$M27,AS$13))))</f>
        <v>2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hidden="1" x14ac:dyDescent="0.2">
      <c r="A28" s="9" t="str">
        <f t="shared" ca="1" si="8"/>
        <v>7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6" t="str">
        <f ca="1">OFFSET(ORÇAMENTO!N$15,ROW(D28)-ROW(D$15),0)</f>
        <v>Serviço</v>
      </c>
      <c r="E28" s="206" t="str">
        <f ca="1">OFFSET(ORÇAMENTO!O$15,ROW(E28)-ROW(E$15),0)</f>
        <v>-</v>
      </c>
      <c r="F28" s="207" t="str">
        <f ca="1">OFFSET(ORÇAMENTO!R$15,ROW(F28)-ROW(F$15),0)</f>
        <v>(Sem Código)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REPERFILAMENTO ASFÁLTICO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</v>
      </c>
      <c r="AN28" s="216">
        <f ca="1">IF($D28&lt;&gt;"Serviço",0,IF(AND(AUTOEVENTO="Manual",$M28=1),0,IF(OFFSET(CRONOPLE!$F$14,$M28,AN$13)="",10^12,OFFSET(CRONOPLE!$F$14,$M28,AN$13))))</f>
        <v>1</v>
      </c>
      <c r="AO28" s="216">
        <f ca="1">IF($D28&lt;&gt;"Serviço",0,IF(AND(AUTOEVENTO="Manual",$M28=1),0,IF(OFFSET(CRONOPLE!$F$14,$M28,AO$13)="",10^12,OFFSET(CRONOPLE!$F$14,$M28,AO$13))))</f>
        <v>1</v>
      </c>
      <c r="AP28" s="216">
        <f ca="1">IF($D28&lt;&gt;"Serviço",0,IF(AND(AUTOEVENTO="Manual",$M28=1),0,IF(OFFSET(CRONOPLE!$F$14,$M28,AP$13)="",10^12,OFFSET(CRONOPLE!$F$14,$M28,AP$13))))</f>
        <v>1</v>
      </c>
      <c r="AQ28" s="216">
        <f ca="1">IF($D28&lt;&gt;"Serviço",0,IF(AND(AUTOEVENTO="Manual",$M28=1),0,IF(OFFSET(CRONOPLE!$F$14,$M28,AQ$13)="",10^12,OFFSET(CRONOPLE!$F$14,$M28,AQ$13))))</f>
        <v>2</v>
      </c>
      <c r="AR28" s="216">
        <f ca="1">IF($D28&lt;&gt;"Serviço",0,IF(AND(AUTOEVENTO="Manual",$M28=1),0,IF(OFFSET(CRONOPLE!$F$14,$M28,AR$13)="",10^12,OFFSET(CRONOPLE!$F$14,$M28,AR$13))))</f>
        <v>2</v>
      </c>
      <c r="AS28" s="216">
        <f ca="1">IF($D28&lt;&gt;"Serviço",0,IF(AND(AUTOEVENTO="Manual",$M28=1),0,IF(OFFSET(CRONOPLE!$F$14,$M28,AS$13)="",10^12,OFFSET(CRONOPLE!$F$14,$M28,AS$13))))</f>
        <v>2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hidden="1" x14ac:dyDescent="0.2">
      <c r="A29" s="9" t="str">
        <f t="shared" ca="1" si="8"/>
        <v>7</v>
      </c>
      <c r="B29" s="9" t="str">
        <f ca="1">OFFSET(ORÇAMENTO!C$15,ROW(B29)-ROW(B$15),0)</f>
        <v>S</v>
      </c>
      <c r="C29" s="9" t="str">
        <f ca="1">OFFSET(ORÇAMENTO!L$15,ROW(C29)-ROW(C$15),0)</f>
        <v/>
      </c>
      <c r="D29" s="146" t="str">
        <f ca="1">OFFSET(ORÇAMENTO!N$15,ROW(D29)-ROW(D$15),0)</f>
        <v>Serviço</v>
      </c>
      <c r="E29" s="206" t="str">
        <f ca="1">OFFSET(ORÇAMENTO!O$15,ROW(E29)-ROW(E$15),0)</f>
        <v>-</v>
      </c>
      <c r="F29" s="207" t="str">
        <f ca="1">OFFSET(ORÇAMENTO!R$15,ROW(F29)-ROW(F$15),0)</f>
        <v>(Sem Código)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REPERFILAMENTO ASFÁLTICO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</v>
      </c>
      <c r="AN29" s="216">
        <f ca="1">IF($D29&lt;&gt;"Serviço",0,IF(AND(AUTOEVENTO="Manual",$M29=1),0,IF(OFFSET(CRONOPLE!$F$14,$M29,AN$13)="",10^12,OFFSET(CRONOPLE!$F$14,$M29,AN$13))))</f>
        <v>1</v>
      </c>
      <c r="AO29" s="216">
        <f ca="1">IF($D29&lt;&gt;"Serviço",0,IF(AND(AUTOEVENTO="Manual",$M29=1),0,IF(OFFSET(CRONOPLE!$F$14,$M29,AO$13)="",10^12,OFFSET(CRONOPLE!$F$14,$M29,AO$13))))</f>
        <v>1</v>
      </c>
      <c r="AP29" s="216">
        <f ca="1">IF($D29&lt;&gt;"Serviço",0,IF(AND(AUTOEVENTO="Manual",$M29=1),0,IF(OFFSET(CRONOPLE!$F$14,$M29,AP$13)="",10^12,OFFSET(CRONOPLE!$F$14,$M29,AP$13))))</f>
        <v>1</v>
      </c>
      <c r="AQ29" s="216">
        <f ca="1">IF($D29&lt;&gt;"Serviço",0,IF(AND(AUTOEVENTO="Manual",$M29=1),0,IF(OFFSET(CRONOPLE!$F$14,$M29,AQ$13)="",10^12,OFFSET(CRONOPLE!$F$14,$M29,AQ$13))))</f>
        <v>2</v>
      </c>
      <c r="AR29" s="216">
        <f ca="1">IF($D29&lt;&gt;"Serviço",0,IF(AND(AUTOEVENTO="Manual",$M29=1),0,IF(OFFSET(CRONOPLE!$F$14,$M29,AR$13)="",10^12,OFFSET(CRONOPLE!$F$14,$M29,AR$13))))</f>
        <v>2</v>
      </c>
      <c r="AS29" s="216">
        <f ca="1">IF($D29&lt;&gt;"Serviço",0,IF(AND(AUTOEVENTO="Manual",$M29=1),0,IF(OFFSET(CRONOPLE!$F$14,$M29,AS$13)="",10^12,OFFSET(CRONOPLE!$F$14,$M29,AS$13))))</f>
        <v>2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9" t="str">
        <f t="shared" ca="1" si="8"/>
        <v>15.</v>
      </c>
      <c r="B30" s="9">
        <f ca="1">OFFSET(ORÇAMENTO!C$15,ROW(B30)-ROW(B$15),0)</f>
        <v>2</v>
      </c>
      <c r="C30" s="9" t="str">
        <f ca="1">OFFSET(ORÇAMENTO!L$15,ROW(C30)-ROW(C$15),0)</f>
        <v>F</v>
      </c>
      <c r="D30" s="146" t="str">
        <f ca="1">OFFSET(ORÇAMENTO!N$15,ROW(D30)-ROW(D$15),0)</f>
        <v>Nível 2</v>
      </c>
      <c r="E30" s="206" t="str">
        <f ca="1">OFFSET(ORÇAMENTO!O$15,ROW(E30)-ROW(E$15),0)</f>
        <v>1.3.</v>
      </c>
      <c r="F30" s="207" t="str">
        <f ca="1">OFFSET(ORÇAMENTO!R$15,ROW(F30)-ROW(F$15),0)</f>
        <v>RECAPEAMENTO ASFÁLTICO</v>
      </c>
      <c r="G30" s="208" t="str">
        <f ca="1">IF($D30&lt;&gt;"Serviço","",OFFSET(ORÇAMENTO!S$15,ROW(G30)-ROW(G$15),0))</f>
        <v/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 t="str">
        <f ca="1">IF($D30&lt;&gt;"Serviço","",IF(AUTOEVENTO="manual",$A30,IF(ISERROR(MATCH($A30,$A$15:OFFSET($A30,-1,0),0)),MAX($M$15:OFFSET(M30,-1,0))+1,INDEX($M$15:OFFSET(M30,-1,0),MATCH($A30,$A$15:OFFSET($A30,-1,0),0)))))</f>
        <v/>
      </c>
      <c r="N30" s="212" t="str">
        <f ca="1">IF($D30&lt;&gt;"Serviço","",IF(AUTOEVENTO="Manual",IF($A30=0,"&lt;-- defina o número do agrupador",OFFSET(EVENTOS!$D$14,$A30,0)),OFFSET($F$15,$A30,0)))</f>
        <v/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0</v>
      </c>
      <c r="AN30" s="216">
        <f ca="1">IF($D30&lt;&gt;"Serviço",0,IF(AND(AUTOEVENTO="Manual",$M30=1),0,IF(OFFSET(CRONOPLE!$F$14,$M30,AN$13)="",10^12,OFFSET(CRONOPLE!$F$14,$M30,AN$13))))</f>
        <v>0</v>
      </c>
      <c r="AO30" s="216">
        <f ca="1">IF($D30&lt;&gt;"Serviço",0,IF(AND(AUTOEVENTO="Manual",$M30=1),0,IF(OFFSET(CRONOPLE!$F$14,$M30,AO$13)="",10^12,OFFSET(CRONOPLE!$F$14,$M30,AO$13))))</f>
        <v>0</v>
      </c>
      <c r="AP30" s="216">
        <f ca="1">IF($D30&lt;&gt;"Serviço",0,IF(AND(AUTOEVENTO="Manual",$M30=1),0,IF(OFFSET(CRONOPLE!$F$14,$M30,AP$13)="",10^12,OFFSET(CRONOPLE!$F$14,$M30,AP$13))))</f>
        <v>0</v>
      </c>
      <c r="AQ30" s="216">
        <f ca="1">IF($D30&lt;&gt;"Serviço",0,IF(AND(AUTOEVENTO="Manual",$M30=1),0,IF(OFFSET(CRONOPLE!$F$14,$M30,AQ$13)="",10^12,OFFSET(CRONOPLE!$F$14,$M30,AQ$13))))</f>
        <v>0</v>
      </c>
      <c r="AR30" s="216">
        <f ca="1">IF($D30&lt;&gt;"Serviço",0,IF(AND(AUTOEVENTO="Manual",$M30=1),0,IF(OFFSET(CRONOPLE!$F$14,$M30,AR$13)="",10^12,OFFSET(CRONOPLE!$F$14,$M30,AR$13))))</f>
        <v>0</v>
      </c>
      <c r="AS30" s="216">
        <f ca="1">IF($D30&lt;&gt;"Serviço",0,IF(AND(AUTOEVENTO="Manual",$M30=1),0,IF(OFFSET(CRONOPLE!$F$14,$M30,AS$13)="",10^12,OFFSET(CRONOPLE!$F$14,$M30,AS$13))))</f>
        <v>0</v>
      </c>
      <c r="AT30" s="216">
        <f ca="1">IF($D30&lt;&gt;"Serviço",0,IF(AND(AUTOEVENTO="Manual",$M30=1),0,IF(OFFSET(CRONOPLE!$F$14,$M30,AT$13)="",10^12,OFFSET(CRONOPLE!$F$14,$M30,AT$13))))</f>
        <v>0</v>
      </c>
      <c r="AU30" s="216">
        <f ca="1">IF($D30&lt;&gt;"Serviço",0,IF(AND(AUTOEVENTO="Manual",$M30=1),0,IF(OFFSET(CRONOPLE!$F$14,$M30,AU$13)="",10^12,OFFSET(CRONOPLE!$F$14,$M30,AU$13))))</f>
        <v>0</v>
      </c>
      <c r="AV30" s="216">
        <f ca="1">IF($D30&lt;&gt;"Serviço",0,IF(AND(AUTOEVENTO="Manual",$M30=1),0,IF(OFFSET(CRONOPLE!$F$14,$M30,AV$13)="",10^12,OFFSET(CRONOPLE!$F$14,$M30,AV$13))))</f>
        <v>0</v>
      </c>
      <c r="AX30" s="217">
        <f ca="1">IF($D30&lt;&gt;"Serviço",0,IF(OR(AND(AUTOEVENTO="Manual",$M30=1),$M30&gt;(ROW(PLE.lastrow)-ROW(PLE.firstrow))),0,IF(OFFSET(PLE!$G$14,$M30,AX$13)="",10^12,OFFSET(PLE!$G$14,$M30,AX$13))))</f>
        <v>0</v>
      </c>
      <c r="AY30" s="217">
        <f ca="1">IF($D30&lt;&gt;"Serviço",0,IF(OR(AND(AUTOEVENTO="Manual",$M30=1),$M30&gt;(ROW(PLE.lastrow)-ROW(PLE.firstrow))),0,IF(OFFSET(PLE!$G$14,$M30,AY$13)="",10^12,OFFSET(PLE!$G$14,$M30,AY$13))))</f>
        <v>0</v>
      </c>
      <c r="AZ30" s="217">
        <f ca="1">IF($D30&lt;&gt;"Serviço",0,IF(OR(AND(AUTOEVENTO="Manual",$M30=1),$M30&gt;(ROW(PLE.lastrow)-ROW(PLE.firstrow))),0,IF(OFFSET(PLE!$G$14,$M30,AZ$13)="",10^12,OFFSET(PLE!$G$14,$M30,AZ$13))))</f>
        <v>0</v>
      </c>
      <c r="BA30" s="217">
        <f ca="1">IF($D30&lt;&gt;"Serviço",0,IF(OR(AND(AUTOEVENTO="Manual",$M30=1),$M30&gt;(ROW(PLE.lastrow)-ROW(PLE.firstrow))),0,IF(OFFSET(PLE!$G$14,$M30,BA$13)="",10^12,OFFSET(PLE!$G$14,$M30,BA$13))))</f>
        <v>0</v>
      </c>
      <c r="BB30" s="217">
        <f ca="1">IF($D30&lt;&gt;"Serviço",0,IF(OR(AND(AUTOEVENTO="Manual",$M30=1),$M30&gt;(ROW(PLE.lastrow)-ROW(PLE.firstrow))),0,IF(OFFSET(PLE!$G$14,$M30,BB$13)="",10^12,OFFSET(PLE!$G$14,$M30,BB$13))))</f>
        <v>0</v>
      </c>
      <c r="BC30" s="217">
        <f ca="1">IF($D30&lt;&gt;"Serviço",0,IF(OR(AND(AUTOEVENTO="Manual",$M30=1),$M30&gt;(ROW(PLE.lastrow)-ROW(PLE.firstrow))),0,IF(OFFSET(PLE!$G$14,$M30,BC$13)="",10^12,OFFSET(PLE!$G$14,$M30,BC$13))))</f>
        <v>0</v>
      </c>
      <c r="BD30" s="217">
        <f ca="1">IF($D30&lt;&gt;"Serviço",0,IF(OR(AND(AUTOEVENTO="Manual",$M30=1),$M30&gt;(ROW(PLE.lastrow)-ROW(PLE.firstrow))),0,IF(OFFSET(PLE!$G$14,$M30,BD$13)="",10^12,OFFSET(PLE!$G$14,$M30,BD$13))))</f>
        <v>0</v>
      </c>
      <c r="BE30" s="217">
        <f ca="1">IF($D30&lt;&gt;"Serviço",0,IF(OR(AND(AUTOEVENTO="Manual",$M30=1),$M30&gt;(ROW(PLE.lastrow)-ROW(PLE.firstrow))),0,IF(OFFSET(PLE!$G$14,$M30,BE$13)="",10^12,OFFSET(PLE!$G$14,$M30,BE$13))))</f>
        <v>0</v>
      </c>
      <c r="BF30" s="217">
        <f ca="1">IF($D30&lt;&gt;"Serviço",0,IF(OR(AND(AUTOEVENTO="Manual",$M30=1),$M30&gt;(ROW(PLE.lastrow)-ROW(PLE.firstrow))),0,IF(OFFSET(PLE!$G$14,$M30,BF$13)="",10^12,OFFSET(PLE!$G$14,$M30,BF$13))))</f>
        <v>0</v>
      </c>
      <c r="BG30" s="217">
        <f ca="1">IF($D30&lt;&gt;"Serviço",0,IF(OR(AND(AUTOEVENTO="Manual",$M30=1),$M30&gt;(ROW(PLE.lastrow)-ROW(PLE.firstrow))),0,IF(OFFSET(PLE!$G$14,$M30,BG$13)="",10^12,OFFSET(PLE!$G$14,$M30,BG$13))))</f>
        <v>0</v>
      </c>
    </row>
    <row r="31" spans="1:59" ht="25.5" x14ac:dyDescent="0.2">
      <c r="A31" s="9" t="str">
        <f t="shared" ca="1" si="8"/>
        <v>15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6" t="str">
        <f ca="1">OFFSET(ORÇAMENTO!N$15,ROW(D31)-ROW(D$15),0)</f>
        <v>Serviço</v>
      </c>
      <c r="E31" s="206" t="str">
        <f ca="1">OFFSET(ORÇAMENTO!O$15,ROW(E31)-ROW(E$15),0)</f>
        <v>1.3.1.</v>
      </c>
      <c r="F31" s="207" t="str">
        <f ca="1">OFFSET(ORÇAMENTO!R$15,ROW(F31)-ROW(F$15),0)</f>
        <v>PINTURA DE LIGAÇÃO COM RR-1C - EXCLUSIVE EMULSÃO</v>
      </c>
      <c r="G31" s="208" t="str">
        <f ca="1">IF($D31&lt;&gt;"Serviço","",OFFSET(ORÇAMENTO!S$15,ROW(G31)-ROW(G$15),0))</f>
        <v>M2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7369.47</v>
      </c>
      <c r="I31" s="612" t="s">
        <v>493</v>
      </c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4</v>
      </c>
      <c r="N31" s="212" t="str">
        <f ca="1">IF($D31&lt;&gt;"Serviço","",IF(AUTOEVENTO="Manual",IF($A31=0,"&lt;-- defina o número do agrupador",OFFSET(EVENTOS!$D$14,$A31,0)),OFFSET($F$15,$A31,0)))</f>
        <v>RECAPEAMENTO ASFÁLTICO</v>
      </c>
      <c r="O31" s="213"/>
      <c r="Q31" s="213">
        <f>Q24</f>
        <v>796.83</v>
      </c>
      <c r="R31" s="214">
        <f>R19</f>
        <v>903.06</v>
      </c>
      <c r="S31" s="214">
        <f>S24</f>
        <v>931</v>
      </c>
      <c r="T31" s="214">
        <f>T24</f>
        <v>692.05</v>
      </c>
      <c r="U31" s="214">
        <f>U24</f>
        <v>1444.21</v>
      </c>
      <c r="V31" s="214">
        <f>V24</f>
        <v>1135.77</v>
      </c>
      <c r="W31" s="214">
        <f>W24</f>
        <v>1466.55</v>
      </c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215.1444351900476</v>
      </c>
      <c r="AC31" s="594">
        <f ca="1">IF(AND($D31="Serviço",AC$12&lt;&gt;0,$H31&gt;0,OR(AUTOEVENTO&lt;&gt;"manual",$M31&lt;&gt;1)),ROUND(OFFSET($P31,0,AC$13),15-13*ORÇAMENTO!$AF$7)/$H31*OFFSET(ORÇAMENTO!$X$15,ROW(AC31)-ROW(AC$15),0),0)</f>
        <v>243.82657987616477</v>
      </c>
      <c r="AD31" s="594">
        <f ca="1">IF(AND($D31="Serviço",AD$12&lt;&gt;0,$H31&gt;0,OR(AUTOEVENTO&lt;&gt;"manual",$M31&lt;&gt;1)),ROUND(OFFSET($P31,0,AD$13),15-13*ORÇAMENTO!$AF$7)/$H31*OFFSET(ORÇAMENTO!$X$15,ROW(AD31)-ROW(AD$15),0),0)</f>
        <v>251.37039162924876</v>
      </c>
      <c r="AE31" s="594">
        <f ca="1">IF(AND($D31="Serviço",AE$12&lt;&gt;0,$H31&gt;0,OR(AUTOEVENTO&lt;&gt;"manual",$M31&lt;&gt;1)),ROUND(OFFSET($P31,0,AE$13),15-13*ORÇAMENTO!$AF$7)/$H31*OFFSET(ORÇAMENTO!$X$15,ROW(AE31)-ROW(AE$15),0),0)</f>
        <v>186.85379111387928</v>
      </c>
      <c r="AF31" s="594">
        <f ca="1">IF(AND($D31="Serviço",AF$12&lt;&gt;0,$H31&gt;0,OR(AUTOEVENTO&lt;&gt;"manual",$M31&lt;&gt;1)),ROUND(OFFSET($P31,0,AF$13),15-13*ORÇAMENTO!$AF$7)/$H31*OFFSET(ORÇAMENTO!$X$15,ROW(AF31)-ROW(AF$15),0),0)</f>
        <v>389.93730751329474</v>
      </c>
      <c r="AG31" s="594">
        <f ca="1">IF(AND($D31="Serviço",AG$12&lt;&gt;0,$H31&gt;0,OR(AUTOEVENTO&lt;&gt;"manual",$M31&lt;&gt;1)),ROUND(OFFSET($P31,0,AG$13),15-13*ORÇAMENTO!$AF$7)/$H31*OFFSET(ORÇAMENTO!$X$15,ROW(AG31)-ROW(AG$15),0),0)</f>
        <v>306.65837776665074</v>
      </c>
      <c r="AH31" s="594">
        <f ca="1">IF(AND($D31="Serviço",AH$12&lt;&gt;0,$H31&gt;0,OR(AUTOEVENTO&lt;&gt;"manual",$M31&lt;&gt;1)),ROUND(OFFSET($P31,0,AH$13),15-13*ORÇAMENTO!$AF$7)/$H31*OFFSET(ORÇAMENTO!$X$15,ROW(AH31)-ROW(AH$15),0),0)</f>
        <v>395.96911691071404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</v>
      </c>
      <c r="AN31" s="216">
        <f ca="1">IF($D31&lt;&gt;"Serviço",0,IF(AND(AUTOEVENTO="Manual",$M31=1),0,IF(OFFSET(CRONOPLE!$F$14,$M31,AN$13)="",10^12,OFFSET(CRONOPLE!$F$14,$M31,AN$13))))</f>
        <v>1</v>
      </c>
      <c r="AO31" s="216">
        <f ca="1">IF($D31&lt;&gt;"Serviço",0,IF(AND(AUTOEVENTO="Manual",$M31=1),0,IF(OFFSET(CRONOPLE!$F$14,$M31,AO$13)="",10^12,OFFSET(CRONOPLE!$F$14,$M31,AO$13))))</f>
        <v>1</v>
      </c>
      <c r="AP31" s="216">
        <f ca="1">IF($D31&lt;&gt;"Serviço",0,IF(AND(AUTOEVENTO="Manual",$M31=1),0,IF(OFFSET(CRONOPLE!$F$14,$M31,AP$13)="",10^12,OFFSET(CRONOPLE!$F$14,$M31,AP$13))))</f>
        <v>1</v>
      </c>
      <c r="AQ31" s="216">
        <f ca="1">IF($D31&lt;&gt;"Serviço",0,IF(AND(AUTOEVENTO="Manual",$M31=1),0,IF(OFFSET(CRONOPLE!$F$14,$M31,AQ$13)="",10^12,OFFSET(CRONOPLE!$F$14,$M31,AQ$13))))</f>
        <v>2</v>
      </c>
      <c r="AR31" s="216">
        <f ca="1">IF($D31&lt;&gt;"Serviço",0,IF(AND(AUTOEVENTO="Manual",$M31=1),0,IF(OFFSET(CRONOPLE!$F$14,$M31,AR$13)="",10^12,OFFSET(CRONOPLE!$F$14,$M31,AR$13))))</f>
        <v>2</v>
      </c>
      <c r="AS31" s="216">
        <f ca="1">IF($D31&lt;&gt;"Serviço",0,IF(AND(AUTOEVENTO="Manual",$M31=1),0,IF(OFFSET(CRONOPLE!$F$14,$M31,AS$13)="",10^12,OFFSET(CRONOPLE!$F$14,$M31,AS$13))))</f>
        <v>2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15</v>
      </c>
      <c r="B32" s="9" t="str">
        <f ca="1">OFFSET(ORÇAMENTO!C$15,ROW(B32)-ROW(B$15),0)</f>
        <v>S</v>
      </c>
      <c r="C32" s="9" t="str">
        <f ca="1">OFFSET(ORÇAMENTO!L$15,ROW(C32)-ROW(C$15),0)</f>
        <v>F</v>
      </c>
      <c r="D32" s="146" t="str">
        <f ca="1">OFFSET(ORÇAMENTO!N$15,ROW(D32)-ROW(D$15),0)</f>
        <v>Serviço</v>
      </c>
      <c r="E32" s="206" t="str">
        <f ca="1">OFFSET(ORÇAMENTO!O$15,ROW(E32)-ROW(E$15),0)</f>
        <v>1.3.2.</v>
      </c>
      <c r="F32" s="207" t="str">
        <f ca="1">OFFSET(ORÇAMENTO!R$15,ROW(F32)-ROW(F$15),0)</f>
        <v>FORNECIMENTO DE EMULSÃO RR-1C PARA PINTURA DE LIGAÇÃO</v>
      </c>
      <c r="G32" s="208" t="str">
        <f ca="1">IF($D32&lt;&gt;"Serviço","",OFFSET(ORÇAMENTO!S$15,ROW(G32)-ROW(G$15),0))</f>
        <v>TON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3.6899999999999995</v>
      </c>
      <c r="I32" s="612" t="s">
        <v>496</v>
      </c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4</v>
      </c>
      <c r="N32" s="212" t="str">
        <f ca="1">IF($D32&lt;&gt;"Serviço","",IF(AUTOEVENTO="Manual",IF($A32=0,"&lt;-- defina o número do agrupador",OFFSET(EVENTOS!$D$14,$A32,0)),OFFSET($F$15,$A32,0)))</f>
        <v>RECAPEAMENTO ASFÁLTICO</v>
      </c>
      <c r="O32" s="213"/>
      <c r="Q32" s="213">
        <f t="shared" ref="Q32:W32" si="13">Q31*0.0005</f>
        <v>0.39841500000000002</v>
      </c>
      <c r="R32" s="214">
        <f t="shared" si="13"/>
        <v>0.45152999999999999</v>
      </c>
      <c r="S32" s="214">
        <f t="shared" si="13"/>
        <v>0.46550000000000002</v>
      </c>
      <c r="T32" s="214">
        <f t="shared" si="13"/>
        <v>0.34602499999999997</v>
      </c>
      <c r="U32" s="214">
        <f t="shared" si="13"/>
        <v>0.722105</v>
      </c>
      <c r="V32" s="214">
        <f t="shared" si="13"/>
        <v>0.56788499999999997</v>
      </c>
      <c r="W32" s="214">
        <f t="shared" si="13"/>
        <v>0.73327500000000001</v>
      </c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1222.8682926829269</v>
      </c>
      <c r="AC32" s="594">
        <f ca="1">IF(AND($D32="Serviço",AC$12&lt;&gt;0,$H32&gt;0,OR(AUTOEVENTO&lt;&gt;"manual",$M32&lt;&gt;1)),ROUND(OFFSET($P32,0,AC$13),15-13*ORÇAMENTO!$AF$7)/$H32*OFFSET(ORÇAMENTO!$X$15,ROW(AC32)-ROW(AC$15),0),0)</f>
        <v>1375.7268292682929</v>
      </c>
      <c r="AD32" s="594">
        <f ca="1">IF(AND($D32="Serviço",AD$12&lt;&gt;0,$H32&gt;0,OR(AUTOEVENTO&lt;&gt;"manual",$M32&lt;&gt;1)),ROUND(OFFSET($P32,0,AD$13),15-13*ORÇAMENTO!$AF$7)/$H32*OFFSET(ORÇAMENTO!$X$15,ROW(AD32)-ROW(AD$15),0),0)</f>
        <v>1436.8702439024389</v>
      </c>
      <c r="AE32" s="594">
        <f ca="1">IF(AND($D32="Serviço",AE$12&lt;&gt;0,$H32&gt;0,OR(AUTOEVENTO&lt;&gt;"manual",$M32&lt;&gt;1)),ROUND(OFFSET($P32,0,AE$13),15-13*ORÇAMENTO!$AF$7)/$H32*OFFSET(ORÇAMENTO!$X$15,ROW(AE32)-ROW(AE$15),0),0)</f>
        <v>1070.009756097561</v>
      </c>
      <c r="AF32" s="594">
        <f ca="1">IF(AND($D32="Serviço",AF$12&lt;&gt;0,$H32&gt;0,OR(AUTOEVENTO&lt;&gt;"manual",$M32&lt;&gt;1)),ROUND(OFFSET($P32,0,AF$13),15-13*ORÇAMENTO!$AF$7)/$H32*OFFSET(ORÇAMENTO!$X$15,ROW(AF32)-ROW(AF$15),0),0)</f>
        <v>2201.1629268292681</v>
      </c>
      <c r="AG32" s="594">
        <f ca="1">IF(AND($D32="Serviço",AG$12&lt;&gt;0,$H32&gt;0,OR(AUTOEVENTO&lt;&gt;"manual",$M32&lt;&gt;1)),ROUND(OFFSET($P32,0,AG$13),15-13*ORÇAMENTO!$AF$7)/$H32*OFFSET(ORÇAMENTO!$X$15,ROW(AG32)-ROW(AG$15),0),0)</f>
        <v>1742.5873170731707</v>
      </c>
      <c r="AH32" s="594">
        <f ca="1">IF(AND($D32="Serviço",AH$12&lt;&gt;0,$H32&gt;0,OR(AUTOEVENTO&lt;&gt;"manual",$M32&lt;&gt;1)),ROUND(OFFSET($P32,0,AH$13),15-13*ORÇAMENTO!$AF$7)/$H32*OFFSET(ORÇAMENTO!$X$15,ROW(AH32)-ROW(AH$15),0),0)</f>
        <v>2231.7346341463417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</v>
      </c>
      <c r="AN32" s="216">
        <f ca="1">IF($D32&lt;&gt;"Serviço",0,IF(AND(AUTOEVENTO="Manual",$M32=1),0,IF(OFFSET(CRONOPLE!$F$14,$M32,AN$13)="",10^12,OFFSET(CRONOPLE!$F$14,$M32,AN$13))))</f>
        <v>1</v>
      </c>
      <c r="AO32" s="216">
        <f ca="1">IF($D32&lt;&gt;"Serviço",0,IF(AND(AUTOEVENTO="Manual",$M32=1),0,IF(OFFSET(CRONOPLE!$F$14,$M32,AO$13)="",10^12,OFFSET(CRONOPLE!$F$14,$M32,AO$13))))</f>
        <v>1</v>
      </c>
      <c r="AP32" s="216">
        <f ca="1">IF($D32&lt;&gt;"Serviço",0,IF(AND(AUTOEVENTO="Manual",$M32=1),0,IF(OFFSET(CRONOPLE!$F$14,$M32,AP$13)="",10^12,OFFSET(CRONOPLE!$F$14,$M32,AP$13))))</f>
        <v>1</v>
      </c>
      <c r="AQ32" s="216">
        <f ca="1">IF($D32&lt;&gt;"Serviço",0,IF(AND(AUTOEVENTO="Manual",$M32=1),0,IF(OFFSET(CRONOPLE!$F$14,$M32,AQ$13)="",10^12,OFFSET(CRONOPLE!$F$14,$M32,AQ$13))))</f>
        <v>2</v>
      </c>
      <c r="AR32" s="216">
        <f ca="1">IF($D32&lt;&gt;"Serviço",0,IF(AND(AUTOEVENTO="Manual",$M32=1),0,IF(OFFSET(CRONOPLE!$F$14,$M32,AR$13)="",10^12,OFFSET(CRONOPLE!$F$14,$M32,AR$13))))</f>
        <v>2</v>
      </c>
      <c r="AS32" s="216">
        <f ca="1">IF($D32&lt;&gt;"Serviço",0,IF(AND(AUTOEVENTO="Manual",$M32=1),0,IF(OFFSET(CRONOPLE!$F$14,$M32,AS$13)="",10^12,OFFSET(CRONOPLE!$F$14,$M32,AS$13))))</f>
        <v>2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91.25" x14ac:dyDescent="0.2">
      <c r="A33" s="9" t="str">
        <f t="shared" ca="1" si="8"/>
        <v>15</v>
      </c>
      <c r="B33" s="9" t="str">
        <f ca="1">OFFSET(ORÇAMENTO!C$15,ROW(B33)-ROW(B$15),0)</f>
        <v>S</v>
      </c>
      <c r="C33" s="9" t="str">
        <f ca="1">OFFSET(ORÇAMENTO!L$15,ROW(C33)-ROW(C$15),0)</f>
        <v>F</v>
      </c>
      <c r="D33" s="146" t="str">
        <f ca="1">OFFSET(ORÇAMENTO!N$15,ROW(D33)-ROW(D$15),0)</f>
        <v>Serviço</v>
      </c>
      <c r="E33" s="206" t="str">
        <f ca="1">OFFSET(ORÇAMENTO!O$15,ROW(E33)-ROW(E$15),0)</f>
        <v>1.3.3.</v>
      </c>
      <c r="F33" s="207" t="str">
        <f ca="1">OFFSET(ORÇAMENTO!R$15,ROW(F33)-ROW(F$15),0)</f>
        <v>CBUQ (QUANTIDADE MENOR QUE 10000 TON)</v>
      </c>
      <c r="G33" s="208" t="str">
        <f ca="1">IF($D33&lt;&gt;"Serviço","",OFFSET(ORÇAMENTO!S$15,ROW(G33)-ROW(G$15),0))</f>
        <v>TON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738.94</v>
      </c>
      <c r="I33" s="612" t="s">
        <v>497</v>
      </c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4</v>
      </c>
      <c r="N33" s="212" t="str">
        <f ca="1">IF($D33&lt;&gt;"Serviço","",IF(AUTOEVENTO="Manual",IF($A33=0,"&lt;-- defina o número do agrupador",OFFSET(EVENTOS!$D$14,$A33,0)),OFFSET($F$15,$A33,0)))</f>
        <v>RECAPEAMENTO ASFÁLTICO</v>
      </c>
      <c r="O33" s="213"/>
      <c r="Q33" s="213">
        <f>Q31*0.04*2.586</f>
        <v>82.424095199999996</v>
      </c>
      <c r="R33" s="214">
        <f>R31*0.03*2.586</f>
        <v>70.059394799999978</v>
      </c>
      <c r="S33" s="214">
        <f>S31*0.04*2.586</f>
        <v>96.302639999999997</v>
      </c>
      <c r="T33" s="214">
        <f>T31*0.04*2.586</f>
        <v>71.585651999999996</v>
      </c>
      <c r="U33" s="214">
        <f>U31*0.04*2.586</f>
        <v>149.38908239999998</v>
      </c>
      <c r="V33" s="214">
        <f>V31*0.04*2.586</f>
        <v>117.48404879999998</v>
      </c>
      <c r="W33" s="214">
        <f>W31*0.04*2.586</f>
        <v>151.69993199999999</v>
      </c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15572.434398462663</v>
      </c>
      <c r="AC33" s="594">
        <f ca="1">IF(AND($D33="Serviço",AC$12&lt;&gt;0,$H33&gt;0,OR(AUTOEVENTO&lt;&gt;"manual",$M33&lt;&gt;1)),ROUND(OFFSET($P33,0,AC$13),15-13*ORÇAMENTO!$AF$7)/$H33*OFFSET(ORÇAMENTO!$X$15,ROW(AC33)-ROW(AC$15),0),0)</f>
        <v>13237.136058678649</v>
      </c>
      <c r="AD33" s="594">
        <f ca="1">IF(AND($D33="Serviço",AD$12&lt;&gt;0,$H33&gt;0,OR(AUTOEVENTO&lt;&gt;"manual",$M33&lt;&gt;1)),ROUND(OFFSET($P33,0,AD$13),15-13*ORÇAMENTO!$AF$7)/$H33*OFFSET(ORÇAMENTO!$X$15,ROW(AD33)-ROW(AD$15),0),0)</f>
        <v>18194.921530841475</v>
      </c>
      <c r="AE33" s="594">
        <f ca="1">IF(AND($D33="Serviço",AE$12&lt;&gt;0,$H33&gt;0,OR(AUTOEVENTO&lt;&gt;"manual",$M33&lt;&gt;1)),ROUND(OFFSET($P33,0,AE$13),15-13*ORÇAMENTO!$AF$7)/$H33*OFFSET(ORÇAMENTO!$X$15,ROW(AE33)-ROW(AE$15),0),0)</f>
        <v>13526.214251224728</v>
      </c>
      <c r="AF33" s="594">
        <f ca="1">IF(AND($D33="Serviço",AF$12&lt;&gt;0,$H33&gt;0,OR(AUTOEVENTO&lt;&gt;"manual",$M33&lt;&gt;1)),ROUND(OFFSET($P33,0,AF$13),15-13*ORÇAMENTO!$AF$7)/$H33*OFFSET(ORÇAMENTO!$X$15,ROW(AF33)-ROW(AF$15),0),0)</f>
        <v>28225.745872195304</v>
      </c>
      <c r="AG33" s="594">
        <f ca="1">IF(AND($D33="Serviço",AG$12&lt;&gt;0,$H33&gt;0,OR(AUTOEVENTO&lt;&gt;"manual",$M33&lt;&gt;1)),ROUND(OFFSET($P33,0,AG$13),15-13*ORÇAMENTO!$AF$7)/$H33*OFFSET(ORÇAMENTO!$X$15,ROW(AG33)-ROW(AG$15),0),0)</f>
        <v>22196.670627655833</v>
      </c>
      <c r="AH33" s="594">
        <f ca="1">IF(AND($D33="Serviço",AH$12&lt;&gt;0,$H33&gt;0,OR(AUTOEVENTO&lt;&gt;"manual",$M33&lt;&gt;1)),ROUND(OFFSET($P33,0,AH$13),15-13*ORÇAMENTO!$AF$7)/$H33*OFFSET(ORÇAMENTO!$X$15,ROW(AH33)-ROW(AH$15),0),0)</f>
        <v>28662.197260941346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</v>
      </c>
      <c r="AN33" s="216">
        <f ca="1">IF($D33&lt;&gt;"Serviço",0,IF(AND(AUTOEVENTO="Manual",$M33=1),0,IF(OFFSET(CRONOPLE!$F$14,$M33,AN$13)="",10^12,OFFSET(CRONOPLE!$F$14,$M33,AN$13))))</f>
        <v>1</v>
      </c>
      <c r="AO33" s="216">
        <f ca="1">IF($D33&lt;&gt;"Serviço",0,IF(AND(AUTOEVENTO="Manual",$M33=1),0,IF(OFFSET(CRONOPLE!$F$14,$M33,AO$13)="",10^12,OFFSET(CRONOPLE!$F$14,$M33,AO$13))))</f>
        <v>1</v>
      </c>
      <c r="AP33" s="216">
        <f ca="1">IF($D33&lt;&gt;"Serviço",0,IF(AND(AUTOEVENTO="Manual",$M33=1),0,IF(OFFSET(CRONOPLE!$F$14,$M33,AP$13)="",10^12,OFFSET(CRONOPLE!$F$14,$M33,AP$13))))</f>
        <v>1</v>
      </c>
      <c r="AQ33" s="216">
        <f ca="1">IF($D33&lt;&gt;"Serviço",0,IF(AND(AUTOEVENTO="Manual",$M33=1),0,IF(OFFSET(CRONOPLE!$F$14,$M33,AQ$13)="",10^12,OFFSET(CRONOPLE!$F$14,$M33,AQ$13))))</f>
        <v>2</v>
      </c>
      <c r="AR33" s="216">
        <f ca="1">IF($D33&lt;&gt;"Serviço",0,IF(AND(AUTOEVENTO="Manual",$M33=1),0,IF(OFFSET(CRONOPLE!$F$14,$M33,AR$13)="",10^12,OFFSET(CRONOPLE!$F$14,$M33,AR$13))))</f>
        <v>2</v>
      </c>
      <c r="AS33" s="216">
        <f ca="1">IF($D33&lt;&gt;"Serviço",0,IF(AND(AUTOEVENTO="Manual",$M33=1),0,IF(OFFSET(CRONOPLE!$F$14,$M33,AS$13)="",10^12,OFFSET(CRONOPLE!$F$14,$M33,AS$13))))</f>
        <v>2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15</v>
      </c>
      <c r="B34" s="9" t="str">
        <f ca="1">OFFSET(ORÇAMENTO!C$15,ROW(B34)-ROW(B$15),0)</f>
        <v>S</v>
      </c>
      <c r="C34" s="9" t="str">
        <f ca="1">OFFSET(ORÇAMENTO!L$15,ROW(C34)-ROW(C$15),0)</f>
        <v>F</v>
      </c>
      <c r="D34" s="146" t="str">
        <f ca="1">OFFSET(ORÇAMENTO!N$15,ROW(D34)-ROW(D$15),0)</f>
        <v>Serviço</v>
      </c>
      <c r="E34" s="206" t="str">
        <f ca="1">OFFSET(ORÇAMENTO!O$15,ROW(E34)-ROW(E$15),0)</f>
        <v>1.3.4.</v>
      </c>
      <c r="F34" s="207" t="str">
        <f ca="1">OFFSET(ORÇAMENTO!R$15,ROW(F34)-ROW(F$15),0)</f>
        <v>FORNECIMENTO DE CAP PARA CBUQ (MENOR QUE 10000 TON)</v>
      </c>
      <c r="G34" s="208" t="str">
        <f ca="1">IF($D34&lt;&gt;"Serviço","",OFFSET(ORÇAMENTO!S$15,ROW(G34)-ROW(G$15),0))</f>
        <v>TON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36.21</v>
      </c>
      <c r="I34" s="612" t="s">
        <v>495</v>
      </c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4</v>
      </c>
      <c r="N34" s="212" t="str">
        <f ca="1">IF($D34&lt;&gt;"Serviço","",IF(AUTOEVENTO="Manual",IF($A34=0,"&lt;-- defina o número do agrupador",OFFSET(EVENTOS!$D$14,$A34,0)),OFFSET($F$15,$A34,0)))</f>
        <v>RECAPEAMENTO ASFÁLTICO</v>
      </c>
      <c r="O34" s="213"/>
      <c r="Q34" s="213">
        <f t="shared" ref="Q34:W34" si="14">Q33*0.049</f>
        <v>4.0387806648</v>
      </c>
      <c r="R34" s="214">
        <f t="shared" si="14"/>
        <v>3.4329103451999989</v>
      </c>
      <c r="S34" s="214">
        <f t="shared" si="14"/>
        <v>4.71882936</v>
      </c>
      <c r="T34" s="214">
        <f t="shared" si="14"/>
        <v>3.507696948</v>
      </c>
      <c r="U34" s="214">
        <f t="shared" si="14"/>
        <v>7.3200650375999992</v>
      </c>
      <c r="V34" s="214">
        <f t="shared" si="14"/>
        <v>5.7567183911999997</v>
      </c>
      <c r="W34" s="214">
        <f t="shared" si="14"/>
        <v>7.4332966679999997</v>
      </c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16907.844054128691</v>
      </c>
      <c r="AC34" s="594">
        <f ca="1">IF(AND($D34="Serviço",AC$12&lt;&gt;0,$H34&gt;0,OR(AUTOEVENTO&lt;&gt;"manual",$M34&lt;&gt;1)),ROUND(OFFSET($P34,0,AC$13),15-13*ORÇAMENTO!$AF$7)/$H34*OFFSET(ORÇAMENTO!$X$15,ROW(AC34)-ROW(AC$15),0),0)</f>
        <v>14354.927006351836</v>
      </c>
      <c r="AD34" s="594">
        <f ca="1">IF(AND($D34="Serviço",AD$12&lt;&gt;0,$H34&gt;0,OR(AUTOEVENTO&lt;&gt;"manual",$M34&lt;&gt;1)),ROUND(OFFSET($P34,0,AD$13),15-13*ORÇAMENTO!$AF$7)/$H34*OFFSET(ORÇAMENTO!$X$15,ROW(AD34)-ROW(AD$15),0),0)</f>
        <v>19753.71879591273</v>
      </c>
      <c r="AE34" s="594">
        <f ca="1">IF(AND($D34="Serviço",AE$12&lt;&gt;0,$H34&gt;0,OR(AUTOEVENTO&lt;&gt;"manual",$M34&lt;&gt;1)),ROUND(OFFSET($P34,0,AE$13),15-13*ORÇAMENTO!$AF$7)/$H34*OFFSET(ORÇAMENTO!$X$15,ROW(AE34)-ROW(AE$15),0),0)</f>
        <v>14689.735799502898</v>
      </c>
      <c r="AF34" s="594">
        <f ca="1">IF(AND($D34="Serviço",AF$12&lt;&gt;0,$H34&gt;0,OR(AUTOEVENTO&lt;&gt;"manual",$M34&lt;&gt;1)),ROUND(OFFSET($P34,0,AF$13),15-13*ORÇAMENTO!$AF$7)/$H34*OFFSET(ORÇAMENTO!$X$15,ROW(AF34)-ROW(AF$15),0),0)</f>
        <v>30635.004573322283</v>
      </c>
      <c r="AG34" s="594">
        <f ca="1">IF(AND($D34="Serviço",AG$12&lt;&gt;0,$H34&gt;0,OR(AUTOEVENTO&lt;&gt;"manual",$M34&lt;&gt;1)),ROUND(OFFSET($P34,0,AG$13),15-13*ORÇAMENTO!$AF$7)/$H34*OFFSET(ORÇAMENTO!$X$15,ROW(AG34)-ROW(AG$15),0),0)</f>
        <v>24106.233106876549</v>
      </c>
      <c r="AH34" s="594">
        <f ca="1">IF(AND($D34="Serviço",AH$12&lt;&gt;0,$H34&gt;0,OR(AUTOEVENTO&lt;&gt;"manual",$M34&lt;&gt;1)),ROUND(OFFSET($P34,0,AH$13),15-13*ORÇAMENTO!$AF$7)/$H34*OFFSET(ORÇAMENTO!$X$15,ROW(AH34)-ROW(AH$15),0),0)</f>
        <v>31095.366663904995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</v>
      </c>
      <c r="AN34" s="216">
        <f ca="1">IF($D34&lt;&gt;"Serviço",0,IF(AND(AUTOEVENTO="Manual",$M34=1),0,IF(OFFSET(CRONOPLE!$F$14,$M34,AN$13)="",10^12,OFFSET(CRONOPLE!$F$14,$M34,AN$13))))</f>
        <v>1</v>
      </c>
      <c r="AO34" s="216">
        <f ca="1">IF($D34&lt;&gt;"Serviço",0,IF(AND(AUTOEVENTO="Manual",$M34=1),0,IF(OFFSET(CRONOPLE!$F$14,$M34,AO$13)="",10^12,OFFSET(CRONOPLE!$F$14,$M34,AO$13))))</f>
        <v>1</v>
      </c>
      <c r="AP34" s="216">
        <f ca="1">IF($D34&lt;&gt;"Serviço",0,IF(AND(AUTOEVENTO="Manual",$M34=1),0,IF(OFFSET(CRONOPLE!$F$14,$M34,AP$13)="",10^12,OFFSET(CRONOPLE!$F$14,$M34,AP$13))))</f>
        <v>1</v>
      </c>
      <c r="AQ34" s="216">
        <f ca="1">IF($D34&lt;&gt;"Serviço",0,IF(AND(AUTOEVENTO="Manual",$M34=1),0,IF(OFFSET(CRONOPLE!$F$14,$M34,AQ$13)="",10^12,OFFSET(CRONOPLE!$F$14,$M34,AQ$13))))</f>
        <v>2</v>
      </c>
      <c r="AR34" s="216">
        <f ca="1">IF($D34&lt;&gt;"Serviço",0,IF(AND(AUTOEVENTO="Manual",$M34=1),0,IF(OFFSET(CRONOPLE!$F$14,$M34,AR$13)="",10^12,OFFSET(CRONOPLE!$F$14,$M34,AR$13))))</f>
        <v>2</v>
      </c>
      <c r="AS34" s="216">
        <f ca="1">IF($D34&lt;&gt;"Serviço",0,IF(AND(AUTOEVENTO="Manual",$M34=1),0,IF(OFFSET(CRONOPLE!$F$14,$M34,AS$13)="",10^12,OFFSET(CRONOPLE!$F$14,$M34,AS$13))))</f>
        <v>2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hidden="1" x14ac:dyDescent="0.2">
      <c r="A35" s="9" t="str">
        <f t="shared" ca="1" si="8"/>
        <v>15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(Sem Código)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4</v>
      </c>
      <c r="N35" s="212" t="str">
        <f ca="1">IF($D35&lt;&gt;"Serviço","",IF(AUTOEVENTO="Manual",IF($A35=0,"&lt;-- defina o número do agrupador",OFFSET(EVENTOS!$D$14,$A35,0)),OFFSET($F$15,$A35,0)))</f>
        <v>RECAPEAMENTO ASFÁLTICO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</v>
      </c>
      <c r="AN35" s="216">
        <f ca="1">IF($D35&lt;&gt;"Serviço",0,IF(AND(AUTOEVENTO="Manual",$M35=1),0,IF(OFFSET(CRONOPLE!$F$14,$M35,AN$13)="",10^12,OFFSET(CRONOPLE!$F$14,$M35,AN$13))))</f>
        <v>1</v>
      </c>
      <c r="AO35" s="216">
        <f ca="1">IF($D35&lt;&gt;"Serviço",0,IF(AND(AUTOEVENTO="Manual",$M35=1),0,IF(OFFSET(CRONOPLE!$F$14,$M35,AO$13)="",10^12,OFFSET(CRONOPLE!$F$14,$M35,AO$13))))</f>
        <v>1</v>
      </c>
      <c r="AP35" s="216">
        <f ca="1">IF($D35&lt;&gt;"Serviço",0,IF(AND(AUTOEVENTO="Manual",$M35=1),0,IF(OFFSET(CRONOPLE!$F$14,$M35,AP$13)="",10^12,OFFSET(CRONOPLE!$F$14,$M35,AP$13))))</f>
        <v>1</v>
      </c>
      <c r="AQ35" s="216">
        <f ca="1">IF($D35&lt;&gt;"Serviço",0,IF(AND(AUTOEVENTO="Manual",$M35=1),0,IF(OFFSET(CRONOPLE!$F$14,$M35,AQ$13)="",10^12,OFFSET(CRONOPLE!$F$14,$M35,AQ$13))))</f>
        <v>2</v>
      </c>
      <c r="AR35" s="216">
        <f ca="1">IF($D35&lt;&gt;"Serviço",0,IF(AND(AUTOEVENTO="Manual",$M35=1),0,IF(OFFSET(CRONOPLE!$F$14,$M35,AR$13)="",10^12,OFFSET(CRONOPLE!$F$14,$M35,AR$13))))</f>
        <v>2</v>
      </c>
      <c r="AS35" s="216">
        <f ca="1">IF($D35&lt;&gt;"Serviço",0,IF(AND(AUTOEVENTO="Manual",$M35=1),0,IF(OFFSET(CRONOPLE!$F$14,$M35,AS$13)="",10^12,OFFSET(CRONOPLE!$F$14,$M35,AS$13))))</f>
        <v>2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hidden="1" x14ac:dyDescent="0.2">
      <c r="A36" s="9" t="str">
        <f t="shared" ca="1" si="8"/>
        <v>15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6" t="str">
        <f ca="1">OFFSET(ORÇAMENTO!N$15,ROW(D36)-ROW(D$15),0)</f>
        <v>Serviço</v>
      </c>
      <c r="E36" s="206" t="str">
        <f ca="1">OFFSET(ORÇAMENTO!O$15,ROW(E36)-ROW(E$15),0)</f>
        <v>-</v>
      </c>
      <c r="F36" s="207" t="str">
        <f ca="1">OFFSET(ORÇAMENTO!R$15,ROW(F36)-ROW(F$15),0)</f>
        <v>(Sem Código)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4</v>
      </c>
      <c r="N36" s="212" t="str">
        <f ca="1">IF($D36&lt;&gt;"Serviço","",IF(AUTOEVENTO="Manual",IF($A36=0,"&lt;-- defina o número do agrupador",OFFSET(EVENTOS!$D$14,$A36,0)),OFFSET($F$15,$A36,0)))</f>
        <v>RECAPEAMENTO ASFÁLTICO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</v>
      </c>
      <c r="AN36" s="216">
        <f ca="1">IF($D36&lt;&gt;"Serviço",0,IF(AND(AUTOEVENTO="Manual",$M36=1),0,IF(OFFSET(CRONOPLE!$F$14,$M36,AN$13)="",10^12,OFFSET(CRONOPLE!$F$14,$M36,AN$13))))</f>
        <v>1</v>
      </c>
      <c r="AO36" s="216">
        <f ca="1">IF($D36&lt;&gt;"Serviço",0,IF(AND(AUTOEVENTO="Manual",$M36=1),0,IF(OFFSET(CRONOPLE!$F$14,$M36,AO$13)="",10^12,OFFSET(CRONOPLE!$F$14,$M36,AO$13))))</f>
        <v>1</v>
      </c>
      <c r="AP36" s="216">
        <f ca="1">IF($D36&lt;&gt;"Serviço",0,IF(AND(AUTOEVENTO="Manual",$M36=1),0,IF(OFFSET(CRONOPLE!$F$14,$M36,AP$13)="",10^12,OFFSET(CRONOPLE!$F$14,$M36,AP$13))))</f>
        <v>1</v>
      </c>
      <c r="AQ36" s="216">
        <f ca="1">IF($D36&lt;&gt;"Serviço",0,IF(AND(AUTOEVENTO="Manual",$M36=1),0,IF(OFFSET(CRONOPLE!$F$14,$M36,AQ$13)="",10^12,OFFSET(CRONOPLE!$F$14,$M36,AQ$13))))</f>
        <v>2</v>
      </c>
      <c r="AR36" s="216">
        <f ca="1">IF($D36&lt;&gt;"Serviço",0,IF(AND(AUTOEVENTO="Manual",$M36=1),0,IF(OFFSET(CRONOPLE!$F$14,$M36,AR$13)="",10^12,OFFSET(CRONOPLE!$F$14,$M36,AR$13))))</f>
        <v>2</v>
      </c>
      <c r="AS36" s="216">
        <f ca="1">IF($D36&lt;&gt;"Serviço",0,IF(AND(AUTOEVENTO="Manual",$M36=1),0,IF(OFFSET(CRONOPLE!$F$14,$M36,AS$13)="",10^12,OFFSET(CRONOPLE!$F$14,$M36,AS$13))))</f>
        <v>2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hidden="1" x14ac:dyDescent="0.2">
      <c r="A37" s="9" t="str">
        <f t="shared" ca="1" si="8"/>
        <v>15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6" t="str">
        <f ca="1">OFFSET(ORÇAMENTO!N$15,ROW(D37)-ROW(D$15),0)</f>
        <v>Serviço</v>
      </c>
      <c r="E37" s="206" t="str">
        <f ca="1">OFFSET(ORÇAMENTO!O$15,ROW(E37)-ROW(E$15),0)</f>
        <v>-</v>
      </c>
      <c r="F37" s="207" t="str">
        <f ca="1">OFFSET(ORÇAMENTO!R$15,ROW(F37)-ROW(F$15),0)</f>
        <v>(Sem Código)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4</v>
      </c>
      <c r="N37" s="212" t="str">
        <f ca="1">IF($D37&lt;&gt;"Serviço","",IF(AUTOEVENTO="Manual",IF($A37=0,"&lt;-- defina o número do agrupador",OFFSET(EVENTOS!$D$14,$A37,0)),OFFSET($F$15,$A37,0)))</f>
        <v>RECAPEAMENTO ASFÁLTICO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</v>
      </c>
      <c r="AN37" s="216">
        <f ca="1">IF($D37&lt;&gt;"Serviço",0,IF(AND(AUTOEVENTO="Manual",$M37=1),0,IF(OFFSET(CRONOPLE!$F$14,$M37,AN$13)="",10^12,OFFSET(CRONOPLE!$F$14,$M37,AN$13))))</f>
        <v>1</v>
      </c>
      <c r="AO37" s="216">
        <f ca="1">IF($D37&lt;&gt;"Serviço",0,IF(AND(AUTOEVENTO="Manual",$M37=1),0,IF(OFFSET(CRONOPLE!$F$14,$M37,AO$13)="",10^12,OFFSET(CRONOPLE!$F$14,$M37,AO$13))))</f>
        <v>1</v>
      </c>
      <c r="AP37" s="216">
        <f ca="1">IF($D37&lt;&gt;"Serviço",0,IF(AND(AUTOEVENTO="Manual",$M37=1),0,IF(OFFSET(CRONOPLE!$F$14,$M37,AP$13)="",10^12,OFFSET(CRONOPLE!$F$14,$M37,AP$13))))</f>
        <v>1</v>
      </c>
      <c r="AQ37" s="216">
        <f ca="1">IF($D37&lt;&gt;"Serviço",0,IF(AND(AUTOEVENTO="Manual",$M37=1),0,IF(OFFSET(CRONOPLE!$F$14,$M37,AQ$13)="",10^12,OFFSET(CRONOPLE!$F$14,$M37,AQ$13))))</f>
        <v>2</v>
      </c>
      <c r="AR37" s="216">
        <f ca="1">IF($D37&lt;&gt;"Serviço",0,IF(AND(AUTOEVENTO="Manual",$M37=1),0,IF(OFFSET(CRONOPLE!$F$14,$M37,AR$13)="",10^12,OFFSET(CRONOPLE!$F$14,$M37,AR$13))))</f>
        <v>2</v>
      </c>
      <c r="AS37" s="216">
        <f ca="1">IF($D37&lt;&gt;"Serviço",0,IF(AND(AUTOEVENTO="Manual",$M37=1),0,IF(OFFSET(CRONOPLE!$F$14,$M37,AS$13)="",10^12,OFFSET(CRONOPLE!$F$14,$M37,AS$13))))</f>
        <v>2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hidden="1" x14ac:dyDescent="0.2">
      <c r="A38" s="9" t="str">
        <f t="shared" ca="1" si="8"/>
        <v>15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6" t="str">
        <f ca="1">OFFSET(ORÇAMENTO!N$15,ROW(D38)-ROW(D$15),0)</f>
        <v>Serviço</v>
      </c>
      <c r="E38" s="206" t="str">
        <f ca="1">OFFSET(ORÇAMENTO!O$15,ROW(E38)-ROW(E$15),0)</f>
        <v>-</v>
      </c>
      <c r="F38" s="207" t="str">
        <f ca="1">OFFSET(ORÇAMENTO!R$15,ROW(F38)-ROW(F$15),0)</f>
        <v>(Sem Código)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212" t="str">
        <f ca="1">IF($D38&lt;&gt;"Serviço","",IF(AUTOEVENTO="Manual",IF($A38=0,"&lt;-- defina o número do agrupador",OFFSET(EVENTOS!$D$14,$A38,0)),OFFSET($F$15,$A38,0)))</f>
        <v>RECAPEAMENTO ASFÁLTICO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</v>
      </c>
      <c r="AN38" s="216">
        <f ca="1">IF($D38&lt;&gt;"Serviço",0,IF(AND(AUTOEVENTO="Manual",$M38=1),0,IF(OFFSET(CRONOPLE!$F$14,$M38,AN$13)="",10^12,OFFSET(CRONOPLE!$F$14,$M38,AN$13))))</f>
        <v>1</v>
      </c>
      <c r="AO38" s="216">
        <f ca="1">IF($D38&lt;&gt;"Serviço",0,IF(AND(AUTOEVENTO="Manual",$M38=1),0,IF(OFFSET(CRONOPLE!$F$14,$M38,AO$13)="",10^12,OFFSET(CRONOPLE!$F$14,$M38,AO$13))))</f>
        <v>1</v>
      </c>
      <c r="AP38" s="216">
        <f ca="1">IF($D38&lt;&gt;"Serviço",0,IF(AND(AUTOEVENTO="Manual",$M38=1),0,IF(OFFSET(CRONOPLE!$F$14,$M38,AP$13)="",10^12,OFFSET(CRONOPLE!$F$14,$M38,AP$13))))</f>
        <v>1</v>
      </c>
      <c r="AQ38" s="216">
        <f ca="1">IF($D38&lt;&gt;"Serviço",0,IF(AND(AUTOEVENTO="Manual",$M38=1),0,IF(OFFSET(CRONOPLE!$F$14,$M38,AQ$13)="",10^12,OFFSET(CRONOPLE!$F$14,$M38,AQ$13))))</f>
        <v>2</v>
      </c>
      <c r="AR38" s="216">
        <f ca="1">IF($D38&lt;&gt;"Serviço",0,IF(AND(AUTOEVENTO="Manual",$M38=1),0,IF(OFFSET(CRONOPLE!$F$14,$M38,AR$13)="",10^12,OFFSET(CRONOPLE!$F$14,$M38,AR$13))))</f>
        <v>2</v>
      </c>
      <c r="AS38" s="216">
        <f ca="1">IF($D38&lt;&gt;"Serviço",0,IF(AND(AUTOEVENTO="Manual",$M38=1),0,IF(OFFSET(CRONOPLE!$F$14,$M38,AS$13)="",10^12,OFFSET(CRONOPLE!$F$14,$M38,AS$13))))</f>
        <v>2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24.</v>
      </c>
      <c r="B39" s="9">
        <f ca="1">OFFSET(ORÇAMENTO!C$15,ROW(B39)-ROW(B$15),0)</f>
        <v>2</v>
      </c>
      <c r="C39" s="9" t="str">
        <f ca="1">OFFSET(ORÇAMENTO!L$15,ROW(C39)-ROW(C$15),0)</f>
        <v>F</v>
      </c>
      <c r="D39" s="146" t="str">
        <f ca="1">OFFSET(ORÇAMENTO!N$15,ROW(D39)-ROW(D$15),0)</f>
        <v>Nível 2</v>
      </c>
      <c r="E39" s="206" t="str">
        <f ca="1">OFFSET(ORÇAMENTO!O$15,ROW(E39)-ROW(E$15),0)</f>
        <v>1.4.</v>
      </c>
      <c r="F39" s="207" t="str">
        <f ca="1">OFFSET(ORÇAMENTO!R$15,ROW(F39)-ROW(F$15),0)</f>
        <v>SINALIZAÇÃO VIÁRIA</v>
      </c>
      <c r="G39" s="208" t="str">
        <f ca="1">IF($D39&lt;&gt;"Serviço","",OFFSET(ORÇAMENTO!S$15,ROW(G39)-ROW(G$15),0))</f>
        <v/>
      </c>
      <c r="H39" s="152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2"/>
      <c r="K39" s="209"/>
      <c r="L39" s="210" t="s">
        <v>254</v>
      </c>
      <c r="M39" s="211" t="str">
        <f ca="1">IF($D39&lt;&gt;"Serviço","",IF(AUTOEVENTO="manual",$A39,IF(ISERROR(MATCH($A39,$A$15:OFFSET($A39,-1,0),0)),MAX($M$15:OFFSET(M39,-1,0))+1,INDEX($M$15:OFFSET(M39,-1,0),MATCH($A39,$A$15:OFFSET($A39,-1,0),0)))))</f>
        <v/>
      </c>
      <c r="N39" s="212" t="str">
        <f ca="1">IF($D39&lt;&gt;"Serviço","",IF(AUTOEVENTO="Manual",IF($A39=0,"&lt;-- defina o número do agrupador",OFFSET(EVENTOS!$D$14,$A39,0)),OFFSET($F$15,$A39,0)))</f>
        <v/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0</v>
      </c>
      <c r="AN39" s="216">
        <f ca="1">IF($D39&lt;&gt;"Serviço",0,IF(AND(AUTOEVENTO="Manual",$M39=1),0,IF(OFFSET(CRONOPLE!$F$14,$M39,AN$13)="",10^12,OFFSET(CRONOPLE!$F$14,$M39,AN$13))))</f>
        <v>0</v>
      </c>
      <c r="AO39" s="216">
        <f ca="1">IF($D39&lt;&gt;"Serviço",0,IF(AND(AUTOEVENTO="Manual",$M39=1),0,IF(OFFSET(CRONOPLE!$F$14,$M39,AO$13)="",10^12,OFFSET(CRONOPLE!$F$14,$M39,AO$13))))</f>
        <v>0</v>
      </c>
      <c r="AP39" s="216">
        <f ca="1">IF($D39&lt;&gt;"Serviço",0,IF(AND(AUTOEVENTO="Manual",$M39=1),0,IF(OFFSET(CRONOPLE!$F$14,$M39,AP$13)="",10^12,OFFSET(CRONOPLE!$F$14,$M39,AP$13))))</f>
        <v>0</v>
      </c>
      <c r="AQ39" s="216">
        <f ca="1">IF($D39&lt;&gt;"Serviço",0,IF(AND(AUTOEVENTO="Manual",$M39=1),0,IF(OFFSET(CRONOPLE!$F$14,$M39,AQ$13)="",10^12,OFFSET(CRONOPLE!$F$14,$M39,AQ$13))))</f>
        <v>0</v>
      </c>
      <c r="AR39" s="216">
        <f ca="1">IF($D39&lt;&gt;"Serviço",0,IF(AND(AUTOEVENTO="Manual",$M39=1),0,IF(OFFSET(CRONOPLE!$F$14,$M39,AR$13)="",10^12,OFFSET(CRONOPLE!$F$14,$M39,AR$13))))</f>
        <v>0</v>
      </c>
      <c r="AS39" s="216">
        <f ca="1">IF($D39&lt;&gt;"Serviço",0,IF(AND(AUTOEVENTO="Manual",$M39=1),0,IF(OFFSET(CRONOPLE!$F$14,$M39,AS$13)="",10^12,OFFSET(CRONOPLE!$F$14,$M39,AS$13))))</f>
        <v>0</v>
      </c>
      <c r="AT39" s="216">
        <f ca="1">IF($D39&lt;&gt;"Serviço",0,IF(AND(AUTOEVENTO="Manual",$M39=1),0,IF(OFFSET(CRONOPLE!$F$14,$M39,AT$13)="",10^12,OFFSET(CRONOPLE!$F$14,$M39,AT$13))))</f>
        <v>0</v>
      </c>
      <c r="AU39" s="216">
        <f ca="1">IF($D39&lt;&gt;"Serviço",0,IF(AND(AUTOEVENTO="Manual",$M39=1),0,IF(OFFSET(CRONOPLE!$F$14,$M39,AU$13)="",10^12,OFFSET(CRONOPLE!$F$14,$M39,AU$13))))</f>
        <v>0</v>
      </c>
      <c r="AV39" s="216">
        <f ca="1">IF($D39&lt;&gt;"Serviço",0,IF(AND(AUTOEVENTO="Manual",$M39=1),0,IF(OFFSET(CRONOPLE!$F$14,$M39,AV$13)="",10^12,OFFSET(CRONOPLE!$F$14,$M39,AV$13))))</f>
        <v>0</v>
      </c>
      <c r="AX39" s="217">
        <f ca="1">IF($D39&lt;&gt;"Serviço",0,IF(OR(AND(AUTOEVENTO="Manual",$M39=1),$M39&gt;(ROW(PLE.lastrow)-ROW(PLE.firstrow))),0,IF(OFFSET(PLE!$G$14,$M39,AX$13)="",10^12,OFFSET(PLE!$G$14,$M39,AX$13))))</f>
        <v>0</v>
      </c>
      <c r="AY39" s="217">
        <f ca="1">IF($D39&lt;&gt;"Serviço",0,IF(OR(AND(AUTOEVENTO="Manual",$M39=1),$M39&gt;(ROW(PLE.lastrow)-ROW(PLE.firstrow))),0,IF(OFFSET(PLE!$G$14,$M39,AY$13)="",10^12,OFFSET(PLE!$G$14,$M39,AY$13))))</f>
        <v>0</v>
      </c>
      <c r="AZ39" s="217">
        <f ca="1">IF($D39&lt;&gt;"Serviço",0,IF(OR(AND(AUTOEVENTO="Manual",$M39=1),$M39&gt;(ROW(PLE.lastrow)-ROW(PLE.firstrow))),0,IF(OFFSET(PLE!$G$14,$M39,AZ$13)="",10^12,OFFSET(PLE!$G$14,$M39,AZ$13))))</f>
        <v>0</v>
      </c>
      <c r="BA39" s="217">
        <f ca="1">IF($D39&lt;&gt;"Serviço",0,IF(OR(AND(AUTOEVENTO="Manual",$M39=1),$M39&gt;(ROW(PLE.lastrow)-ROW(PLE.firstrow))),0,IF(OFFSET(PLE!$G$14,$M39,BA$13)="",10^12,OFFSET(PLE!$G$14,$M39,BA$13))))</f>
        <v>0</v>
      </c>
      <c r="BB39" s="217">
        <f ca="1">IF($D39&lt;&gt;"Serviço",0,IF(OR(AND(AUTOEVENTO="Manual",$M39=1),$M39&gt;(ROW(PLE.lastrow)-ROW(PLE.firstrow))),0,IF(OFFSET(PLE!$G$14,$M39,BB$13)="",10^12,OFFSET(PLE!$G$14,$M39,BB$13))))</f>
        <v>0</v>
      </c>
      <c r="BC39" s="217">
        <f ca="1">IF($D39&lt;&gt;"Serviço",0,IF(OR(AND(AUTOEVENTO="Manual",$M39=1),$M39&gt;(ROW(PLE.lastrow)-ROW(PLE.firstrow))),0,IF(OFFSET(PLE!$G$14,$M39,BC$13)="",10^12,OFFSET(PLE!$G$14,$M39,BC$13))))</f>
        <v>0</v>
      </c>
      <c r="BD39" s="217">
        <f ca="1">IF($D39&lt;&gt;"Serviço",0,IF(OR(AND(AUTOEVENTO="Manual",$M39=1),$M39&gt;(ROW(PLE.lastrow)-ROW(PLE.firstrow))),0,IF(OFFSET(PLE!$G$14,$M39,BD$13)="",10^12,OFFSET(PLE!$G$14,$M39,BD$13))))</f>
        <v>0</v>
      </c>
      <c r="BE39" s="217">
        <f ca="1">IF($D39&lt;&gt;"Serviço",0,IF(OR(AND(AUTOEVENTO="Manual",$M39=1),$M39&gt;(ROW(PLE.lastrow)-ROW(PLE.firstrow))),0,IF(OFFSET(PLE!$G$14,$M39,BE$13)="",10^12,OFFSET(PLE!$G$14,$M39,BE$13))))</f>
        <v>0</v>
      </c>
      <c r="BF39" s="217">
        <f ca="1">IF($D39&lt;&gt;"Serviço",0,IF(OR(AND(AUTOEVENTO="Manual",$M39=1),$M39&gt;(ROW(PLE.lastrow)-ROW(PLE.firstrow))),0,IF(OFFSET(PLE!$G$14,$M39,BF$13)="",10^12,OFFSET(PLE!$G$14,$M39,BF$13))))</f>
        <v>0</v>
      </c>
      <c r="BG39" s="217">
        <f ca="1">IF($D39&lt;&gt;"Serviço",0,IF(OR(AND(AUTOEVENTO="Manual",$M39=1),$M39&gt;(ROW(PLE.lastrow)-ROW(PLE.firstrow))),0,IF(OFFSET(PLE!$G$14,$M39,BG$13)="",10^12,OFFSET(PLE!$G$14,$M39,BG$13))))</f>
        <v>0</v>
      </c>
    </row>
    <row r="40" spans="1:59" ht="25.5" x14ac:dyDescent="0.2">
      <c r="A40" s="9" t="str">
        <f t="shared" ca="1" si="8"/>
        <v>24</v>
      </c>
      <c r="B40" s="9" t="str">
        <f ca="1">OFFSET(ORÇAMENTO!C$15,ROW(B40)-ROW(B$15),0)</f>
        <v>S</v>
      </c>
      <c r="C40" s="9" t="str">
        <f ca="1">OFFSET(ORÇAMENTO!L$15,ROW(C40)-ROW(C$15),0)</f>
        <v>F</v>
      </c>
      <c r="D40" s="146" t="str">
        <f ca="1">OFFSET(ORÇAMENTO!N$15,ROW(D40)-ROW(D$15),0)</f>
        <v>Serviço</v>
      </c>
      <c r="E40" s="206" t="str">
        <f ca="1">OFFSET(ORÇAMENTO!O$15,ROW(E40)-ROW(E$15),0)</f>
        <v>1.4.1.</v>
      </c>
      <c r="F40" s="207" t="str">
        <f ca="1">OFFSET(ORÇAMENTO!R$15,ROW(F40)-ROW(F$15),0)</f>
        <v>FAIXA DE SINALIZAÇÃO HORIZONTAL COM TINTA RESINA ACRÍLICA BASE DE SOLVENTE - COR BRANCA</v>
      </c>
      <c r="G40" s="208" t="str">
        <f ca="1">IF($D40&lt;&gt;"Serviço","",OFFSET(ORÇAMENTO!S$15,ROW(G40)-ROW(G$15),0))</f>
        <v>M2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234.29999999999998</v>
      </c>
      <c r="I40" s="612" t="s">
        <v>450</v>
      </c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5</v>
      </c>
      <c r="N40" s="212" t="str">
        <f ca="1">IF($D40&lt;&gt;"Serviço","",IF(AUTOEVENTO="Manual",IF($A40=0,"&lt;-- defina o número do agrupador",OFFSET(EVENTOS!$D$14,$A40,0)),OFFSET($F$15,$A40,0)))</f>
        <v>SINALIZAÇÃO VIÁRIA</v>
      </c>
      <c r="O40" s="213"/>
      <c r="Q40" s="213">
        <v>19.2</v>
      </c>
      <c r="R40" s="214">
        <v>27.1</v>
      </c>
      <c r="S40" s="214">
        <v>54.5</v>
      </c>
      <c r="T40" s="214">
        <v>21.4</v>
      </c>
      <c r="U40" s="214">
        <v>40.6</v>
      </c>
      <c r="V40" s="214">
        <v>17.899999999999999</v>
      </c>
      <c r="W40" s="214">
        <v>53.6</v>
      </c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575.23216389244556</v>
      </c>
      <c r="AC40" s="594">
        <f ca="1">IF(AND($D40="Serviço",AC$12&lt;&gt;0,$H40&gt;0,OR(AUTOEVENTO&lt;&gt;"manual",$M40&lt;&gt;1)),ROUND(OFFSET($P40,0,AC$13),15-13*ORÇAMENTO!$AF$7)/$H40*OFFSET(ORÇAMENTO!$X$15,ROW(AC40)-ROW(AC$15),0),0)</f>
        <v>811.91623132735822</v>
      </c>
      <c r="AD40" s="594">
        <f ca="1">IF(AND($D40="Serviço",AD$12&lt;&gt;0,$H40&gt;0,OR(AUTOEVENTO&lt;&gt;"manual",$M40&lt;&gt;1)),ROUND(OFFSET($P40,0,AD$13),15-13*ORÇAMENTO!$AF$7)/$H40*OFFSET(ORÇAMENTO!$X$15,ROW(AD40)-ROW(AD$15),0),0)</f>
        <v>1632.8204652155357</v>
      </c>
      <c r="AE40" s="594">
        <f ca="1">IF(AND($D40="Serviço",AE$12&lt;&gt;0,$H40&gt;0,OR(AUTOEVENTO&lt;&gt;"manual",$M40&lt;&gt;1)),ROUND(OFFSET($P40,0,AE$13),15-13*ORÇAMENTO!$AF$7)/$H40*OFFSET(ORÇAMENTO!$X$15,ROW(AE40)-ROW(AE$15),0),0)</f>
        <v>641.14418267178837</v>
      </c>
      <c r="AF40" s="594">
        <f ca="1">IF(AND($D40="Serviço",AF$12&lt;&gt;0,$H40&gt;0,OR(AUTOEVENTO&lt;&gt;"manual",$M40&lt;&gt;1)),ROUND(OFFSET($P40,0,AF$13),15-13*ORÇAMENTO!$AF$7)/$H40*OFFSET(ORÇAMENTO!$X$15,ROW(AF40)-ROW(AF$15),0),0)</f>
        <v>1216.3763465642339</v>
      </c>
      <c r="AG40" s="594">
        <f ca="1">IF(AND($D40="Serviço",AG$12&lt;&gt;0,$H40&gt;0,OR(AUTOEVENTO&lt;&gt;"manual",$M40&lt;&gt;1)),ROUND(OFFSET($P40,0,AG$13),15-13*ORÇAMENTO!$AF$7)/$H40*OFFSET(ORÇAMENTO!$X$15,ROW(AG40)-ROW(AG$15),0),0)</f>
        <v>536.28415279556123</v>
      </c>
      <c r="AH40" s="594">
        <f ca="1">IF(AND($D40="Serviço",AH$12&lt;&gt;0,$H40&gt;0,OR(AUTOEVENTO&lt;&gt;"manual",$M40&lt;&gt;1)),ROUND(OFFSET($P40,0,AH$13),15-13*ORÇAMENTO!$AF$7)/$H40*OFFSET(ORÇAMENTO!$X$15,ROW(AH40)-ROW(AH$15),0),0)</f>
        <v>1605.8564575330774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2</v>
      </c>
      <c r="AN40" s="216">
        <f ca="1">IF($D40&lt;&gt;"Serviço",0,IF(AND(AUTOEVENTO="Manual",$M40=1),0,IF(OFFSET(CRONOPLE!$F$14,$M40,AN$13)="",10^12,OFFSET(CRONOPLE!$F$14,$M40,AN$13))))</f>
        <v>2</v>
      </c>
      <c r="AO40" s="216">
        <f ca="1">IF($D40&lt;&gt;"Serviço",0,IF(AND(AUTOEVENTO="Manual",$M40=1),0,IF(OFFSET(CRONOPLE!$F$14,$M40,AO$13)="",10^12,OFFSET(CRONOPLE!$F$14,$M40,AO$13))))</f>
        <v>2</v>
      </c>
      <c r="AP40" s="216">
        <f ca="1">IF($D40&lt;&gt;"Serviço",0,IF(AND(AUTOEVENTO="Manual",$M40=1),0,IF(OFFSET(CRONOPLE!$F$14,$M40,AP$13)="",10^12,OFFSET(CRONOPLE!$F$14,$M40,AP$13))))</f>
        <v>2</v>
      </c>
      <c r="AQ40" s="216">
        <f ca="1">IF($D40&lt;&gt;"Serviço",0,IF(AND(AUTOEVENTO="Manual",$M40=1),0,IF(OFFSET(CRONOPLE!$F$14,$M40,AQ$13)="",10^12,OFFSET(CRONOPLE!$F$14,$M40,AQ$13))))</f>
        <v>2</v>
      </c>
      <c r="AR40" s="216">
        <f ca="1">IF($D40&lt;&gt;"Serviço",0,IF(AND(AUTOEVENTO="Manual",$M40=1),0,IF(OFFSET(CRONOPLE!$F$14,$M40,AR$13)="",10^12,OFFSET(CRONOPLE!$F$14,$M40,AR$13))))</f>
        <v>2</v>
      </c>
      <c r="AS40" s="216">
        <f ca="1">IF($D40&lt;&gt;"Serviço",0,IF(AND(AUTOEVENTO="Manual",$M40=1),0,IF(OFFSET(CRONOPLE!$F$14,$M40,AS$13)="",10^12,OFFSET(CRONOPLE!$F$14,$M40,AS$13))))</f>
        <v>2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25.5" x14ac:dyDescent="0.2">
      <c r="A41" s="9" t="str">
        <f t="shared" ca="1" si="8"/>
        <v>24</v>
      </c>
      <c r="B41" s="9" t="str">
        <f ca="1">OFFSET(ORÇAMENTO!C$15,ROW(B41)-ROW(B$15),0)</f>
        <v>S</v>
      </c>
      <c r="C41" s="9" t="str">
        <f ca="1">OFFSET(ORÇAMENTO!L$15,ROW(C41)-ROW(C$15),0)</f>
        <v>F</v>
      </c>
      <c r="D41" s="146" t="str">
        <f ca="1">OFFSET(ORÇAMENTO!N$15,ROW(D41)-ROW(D$15),0)</f>
        <v>Serviço</v>
      </c>
      <c r="E41" s="206" t="str">
        <f ca="1">OFFSET(ORÇAMENTO!O$15,ROW(E41)-ROW(E$15),0)</f>
        <v>1.4.2.</v>
      </c>
      <c r="F41" s="207" t="str">
        <f ca="1">OFFSET(ORÇAMENTO!R$15,ROW(F41)-ROW(F$15),0)</f>
        <v>FAIXA DE SINALIZAÇÃO HORIZONTAL COM TINTA RESINA ACRÍLICA BASE DE SOLVENTE - COR AMARELA</v>
      </c>
      <c r="G41" s="208" t="str">
        <f ca="1">IF($D41&lt;&gt;"Serviço","",OFFSET(ORÇAMENTO!S$15,ROW(G41)-ROW(G$15),0))</f>
        <v>M2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20.2</v>
      </c>
      <c r="I41" s="612" t="s">
        <v>450</v>
      </c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5</v>
      </c>
      <c r="N41" s="212" t="str">
        <f ca="1">IF($D41&lt;&gt;"Serviço","",IF(AUTOEVENTO="Manual",IF($A41=0,"&lt;-- defina o número do agrupador",OFFSET(EVENTOS!$D$14,$A41,0)),OFFSET($F$15,$A41,0)))</f>
        <v>SINALIZAÇÃO VIÁRIA</v>
      </c>
      <c r="O41" s="213"/>
      <c r="Q41" s="213">
        <v>2</v>
      </c>
      <c r="R41" s="214">
        <v>2</v>
      </c>
      <c r="S41" s="214">
        <v>6.2</v>
      </c>
      <c r="T41" s="214">
        <v>2</v>
      </c>
      <c r="U41" s="214">
        <v>4</v>
      </c>
      <c r="V41" s="214">
        <v>1</v>
      </c>
      <c r="W41" s="214">
        <v>3</v>
      </c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59.919801980198031</v>
      </c>
      <c r="AC41" s="594">
        <f ca="1">IF(AND($D41="Serviço",AC$12&lt;&gt;0,$H41&gt;0,OR(AUTOEVENTO&lt;&gt;"manual",$M41&lt;&gt;1)),ROUND(OFFSET($P41,0,AC$13),15-13*ORÇAMENTO!$AF$7)/$H41*OFFSET(ORÇAMENTO!$X$15,ROW(AC41)-ROW(AC$15),0),0)</f>
        <v>59.919801980198031</v>
      </c>
      <c r="AD41" s="594">
        <f ca="1">IF(AND($D41="Serviço",AD$12&lt;&gt;0,$H41&gt;0,OR(AUTOEVENTO&lt;&gt;"manual",$M41&lt;&gt;1)),ROUND(OFFSET($P41,0,AD$13),15-13*ORÇAMENTO!$AF$7)/$H41*OFFSET(ORÇAMENTO!$X$15,ROW(AD41)-ROW(AD$15),0),0)</f>
        <v>185.75138613861387</v>
      </c>
      <c r="AE41" s="594">
        <f ca="1">IF(AND($D41="Serviço",AE$12&lt;&gt;0,$H41&gt;0,OR(AUTOEVENTO&lt;&gt;"manual",$M41&lt;&gt;1)),ROUND(OFFSET($P41,0,AE$13),15-13*ORÇAMENTO!$AF$7)/$H41*OFFSET(ORÇAMENTO!$X$15,ROW(AE41)-ROW(AE$15),0),0)</f>
        <v>59.919801980198031</v>
      </c>
      <c r="AF41" s="594">
        <f ca="1">IF(AND($D41="Serviço",AF$12&lt;&gt;0,$H41&gt;0,OR(AUTOEVENTO&lt;&gt;"manual",$M41&lt;&gt;1)),ROUND(OFFSET($P41,0,AF$13),15-13*ORÇAMENTO!$AF$7)/$H41*OFFSET(ORÇAMENTO!$X$15,ROW(AF41)-ROW(AF$15),0),0)</f>
        <v>119.83960396039606</v>
      </c>
      <c r="AG41" s="594">
        <f ca="1">IF(AND($D41="Serviço",AG$12&lt;&gt;0,$H41&gt;0,OR(AUTOEVENTO&lt;&gt;"manual",$M41&lt;&gt;1)),ROUND(OFFSET($P41,0,AG$13),15-13*ORÇAMENTO!$AF$7)/$H41*OFFSET(ORÇAMENTO!$X$15,ROW(AG41)-ROW(AG$15),0),0)</f>
        <v>29.959900990099015</v>
      </c>
      <c r="AH41" s="594">
        <f ca="1">IF(AND($D41="Serviço",AH$12&lt;&gt;0,$H41&gt;0,OR(AUTOEVENTO&lt;&gt;"manual",$M41&lt;&gt;1)),ROUND(OFFSET($P41,0,AH$13),15-13*ORÇAMENTO!$AF$7)/$H41*OFFSET(ORÇAMENTO!$X$15,ROW(AH41)-ROW(AH$15),0),0)</f>
        <v>89.879702970297032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2</v>
      </c>
      <c r="AN41" s="216">
        <f ca="1">IF($D41&lt;&gt;"Serviço",0,IF(AND(AUTOEVENTO="Manual",$M41=1),0,IF(OFFSET(CRONOPLE!$F$14,$M41,AN$13)="",10^12,OFFSET(CRONOPLE!$F$14,$M41,AN$13))))</f>
        <v>2</v>
      </c>
      <c r="AO41" s="216">
        <f ca="1">IF($D41&lt;&gt;"Serviço",0,IF(AND(AUTOEVENTO="Manual",$M41=1),0,IF(OFFSET(CRONOPLE!$F$14,$M41,AO$13)="",10^12,OFFSET(CRONOPLE!$F$14,$M41,AO$13))))</f>
        <v>2</v>
      </c>
      <c r="AP41" s="216">
        <f ca="1">IF($D41&lt;&gt;"Serviço",0,IF(AND(AUTOEVENTO="Manual",$M41=1),0,IF(OFFSET(CRONOPLE!$F$14,$M41,AP$13)="",10^12,OFFSET(CRONOPLE!$F$14,$M41,AP$13))))</f>
        <v>2</v>
      </c>
      <c r="AQ41" s="216">
        <f ca="1">IF($D41&lt;&gt;"Serviço",0,IF(AND(AUTOEVENTO="Manual",$M41=1),0,IF(OFFSET(CRONOPLE!$F$14,$M41,AQ$13)="",10^12,OFFSET(CRONOPLE!$F$14,$M41,AQ$13))))</f>
        <v>2</v>
      </c>
      <c r="AR41" s="216">
        <f ca="1">IF($D41&lt;&gt;"Serviço",0,IF(AND(AUTOEVENTO="Manual",$M41=1),0,IF(OFFSET(CRONOPLE!$F$14,$M41,AR$13)="",10^12,OFFSET(CRONOPLE!$F$14,$M41,AR$13))))</f>
        <v>2</v>
      </c>
      <c r="AS41" s="216">
        <f ca="1">IF($D41&lt;&gt;"Serviço",0,IF(AND(AUTOEVENTO="Manual",$M41=1),0,IF(OFFSET(CRONOPLE!$F$14,$M41,AS$13)="",10^12,OFFSET(CRONOPLE!$F$14,$M41,AS$13))))</f>
        <v>2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25.5" x14ac:dyDescent="0.2">
      <c r="A42" s="9" t="str">
        <f t="shared" ca="1" si="8"/>
        <v>24</v>
      </c>
      <c r="B42" s="9" t="str">
        <f ca="1">OFFSET(ORÇAMENTO!C$15,ROW(B42)-ROW(B$15),0)</f>
        <v>S</v>
      </c>
      <c r="C42" s="9" t="str">
        <f ca="1">OFFSET(ORÇAMENTO!L$15,ROW(C42)-ROW(C$15),0)</f>
        <v>F</v>
      </c>
      <c r="D42" s="146" t="str">
        <f ca="1">OFFSET(ORÇAMENTO!N$15,ROW(D42)-ROW(D$15),0)</f>
        <v>Serviço</v>
      </c>
      <c r="E42" s="206" t="str">
        <f ca="1">OFFSET(ORÇAMENTO!O$15,ROW(E42)-ROW(E$15),0)</f>
        <v>1.4.3.</v>
      </c>
      <c r="F42" s="207" t="str">
        <f ca="1">OFFSET(ORÇAMENTO!R$15,ROW(F42)-ROW(F$15),0)</f>
        <v>PLACA DE SINALIZAÇÃO REFLETIVA - TRIÂNGULO (0,1219 M2/UN) + SUPORTE METÁLICO</v>
      </c>
      <c r="G42" s="208" t="str">
        <f ca="1">IF($D42&lt;&gt;"Serviço","",OFFSET(ORÇAMENTO!S$15,ROW(G42)-ROW(G$15),0))</f>
        <v xml:space="preserve">UN 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11</v>
      </c>
      <c r="I42" s="612" t="s">
        <v>450</v>
      </c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5</v>
      </c>
      <c r="N42" s="212" t="str">
        <f ca="1">IF($D42&lt;&gt;"Serviço","",IF(AUTOEVENTO="Manual",IF($A42=0,"&lt;-- defina o número do agrupador",OFFSET(EVENTOS!$D$14,$A42,0)),OFFSET($F$15,$A42,0)))</f>
        <v>SINALIZAÇÃO VIÁRIA</v>
      </c>
      <c r="O42" s="213"/>
      <c r="Q42" s="213"/>
      <c r="R42" s="214">
        <v>1</v>
      </c>
      <c r="S42" s="214">
        <v>2</v>
      </c>
      <c r="T42" s="214">
        <v>2</v>
      </c>
      <c r="U42" s="214">
        <v>3</v>
      </c>
      <c r="V42" s="214"/>
      <c r="W42" s="214">
        <v>3</v>
      </c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311.05</v>
      </c>
      <c r="AD42" s="594">
        <f ca="1">IF(AND($D42="Serviço",AD$12&lt;&gt;0,$H42&gt;0,OR(AUTOEVENTO&lt;&gt;"manual",$M42&lt;&gt;1)),ROUND(OFFSET($P42,0,AD$13),15-13*ORÇAMENTO!$AF$7)/$H42*OFFSET(ORÇAMENTO!$X$15,ROW(AD42)-ROW(AD$15),0),0)</f>
        <v>622.1</v>
      </c>
      <c r="AE42" s="594">
        <f ca="1">IF(AND($D42="Serviço",AE$12&lt;&gt;0,$H42&gt;0,OR(AUTOEVENTO&lt;&gt;"manual",$M42&lt;&gt;1)),ROUND(OFFSET($P42,0,AE$13),15-13*ORÇAMENTO!$AF$7)/$H42*OFFSET(ORÇAMENTO!$X$15,ROW(AE42)-ROW(AE$15),0),0)</f>
        <v>622.1</v>
      </c>
      <c r="AF42" s="594">
        <f ca="1">IF(AND($D42="Serviço",AF$12&lt;&gt;0,$H42&gt;0,OR(AUTOEVENTO&lt;&gt;"manual",$M42&lt;&gt;1)),ROUND(OFFSET($P42,0,AF$13),15-13*ORÇAMENTO!$AF$7)/$H42*OFFSET(ORÇAMENTO!$X$15,ROW(AF42)-ROW(AF$15),0),0)</f>
        <v>933.15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933.15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2</v>
      </c>
      <c r="AN42" s="216">
        <f ca="1">IF($D42&lt;&gt;"Serviço",0,IF(AND(AUTOEVENTO="Manual",$M42=1),0,IF(OFFSET(CRONOPLE!$F$14,$M42,AN$13)="",10^12,OFFSET(CRONOPLE!$F$14,$M42,AN$13))))</f>
        <v>2</v>
      </c>
      <c r="AO42" s="216">
        <f ca="1">IF($D42&lt;&gt;"Serviço",0,IF(AND(AUTOEVENTO="Manual",$M42=1),0,IF(OFFSET(CRONOPLE!$F$14,$M42,AO$13)="",10^12,OFFSET(CRONOPLE!$F$14,$M42,AO$13))))</f>
        <v>2</v>
      </c>
      <c r="AP42" s="216">
        <f ca="1">IF($D42&lt;&gt;"Serviço",0,IF(AND(AUTOEVENTO="Manual",$M42=1),0,IF(OFFSET(CRONOPLE!$F$14,$M42,AP$13)="",10^12,OFFSET(CRONOPLE!$F$14,$M42,AP$13))))</f>
        <v>2</v>
      </c>
      <c r="AQ42" s="216">
        <f ca="1">IF($D42&lt;&gt;"Serviço",0,IF(AND(AUTOEVENTO="Manual",$M42=1),0,IF(OFFSET(CRONOPLE!$F$14,$M42,AQ$13)="",10^12,OFFSET(CRONOPLE!$F$14,$M42,AQ$13))))</f>
        <v>2</v>
      </c>
      <c r="AR42" s="216">
        <f ca="1">IF($D42&lt;&gt;"Serviço",0,IF(AND(AUTOEVENTO="Manual",$M42=1),0,IF(OFFSET(CRONOPLE!$F$14,$M42,AR$13)="",10^12,OFFSET(CRONOPLE!$F$14,$M42,AR$13))))</f>
        <v>2</v>
      </c>
      <c r="AS42" s="216">
        <f ca="1">IF($D42&lt;&gt;"Serviço",0,IF(AND(AUTOEVENTO="Manual",$M42=1),0,IF(OFFSET(CRONOPLE!$F$14,$M42,AS$13)="",10^12,OFFSET(CRONOPLE!$F$14,$M42,AS$13))))</f>
        <v>2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25.5" x14ac:dyDescent="0.2">
      <c r="A43" s="9" t="str">
        <f t="shared" ca="1" si="8"/>
        <v>24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6" t="str">
        <f ca="1">OFFSET(ORÇAMENTO!N$15,ROW(D43)-ROW(D$15),0)</f>
        <v>Serviço</v>
      </c>
      <c r="E43" s="206" t="str">
        <f ca="1">OFFSET(ORÇAMENTO!O$15,ROW(E43)-ROW(E$15),0)</f>
        <v>1.4.4.</v>
      </c>
      <c r="F43" s="207" t="str">
        <f ca="1">OFFSET(ORÇAMENTO!R$15,ROW(F43)-ROW(F$15),0)</f>
        <v>PLACA DE SINALIZAÇÃO REFLETIVA - RETANGULAR DUPLA (DUAS DE 0,20 x 0,60) EM L (0,24 M2/UN) + SUPORTE METÁLICO</v>
      </c>
      <c r="G43" s="208" t="str">
        <f ca="1">IF($D43&lt;&gt;"Serviço","",OFFSET(ORÇAMENTO!S$15,ROW(G43)-ROW(G$15),0))</f>
        <v xml:space="preserve">UN 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11</v>
      </c>
      <c r="I43" s="612" t="s">
        <v>450</v>
      </c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5</v>
      </c>
      <c r="N43" s="212" t="str">
        <f ca="1">IF($D43&lt;&gt;"Serviço","",IF(AUTOEVENTO="Manual",IF($A43=0,"&lt;-- defina o número do agrupador",OFFSET(EVENTOS!$D$14,$A43,0)),OFFSET($F$15,$A43,0)))</f>
        <v>SINALIZAÇÃO VIÁRIA</v>
      </c>
      <c r="O43" s="213"/>
      <c r="Q43" s="213">
        <v>1</v>
      </c>
      <c r="R43" s="214">
        <v>1</v>
      </c>
      <c r="S43" s="214">
        <v>2</v>
      </c>
      <c r="T43" s="214">
        <v>2</v>
      </c>
      <c r="U43" s="214">
        <v>2</v>
      </c>
      <c r="V43" s="214"/>
      <c r="W43" s="214">
        <v>3</v>
      </c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358.14</v>
      </c>
      <c r="AC43" s="594">
        <f ca="1">IF(AND($D43="Serviço",AC$12&lt;&gt;0,$H43&gt;0,OR(AUTOEVENTO&lt;&gt;"manual",$M43&lt;&gt;1)),ROUND(OFFSET($P43,0,AC$13),15-13*ORÇAMENTO!$AF$7)/$H43*OFFSET(ORÇAMENTO!$X$15,ROW(AC43)-ROW(AC$15),0),0)</f>
        <v>358.14</v>
      </c>
      <c r="AD43" s="594">
        <f ca="1">IF(AND($D43="Serviço",AD$12&lt;&gt;0,$H43&gt;0,OR(AUTOEVENTO&lt;&gt;"manual",$M43&lt;&gt;1)),ROUND(OFFSET($P43,0,AD$13),15-13*ORÇAMENTO!$AF$7)/$H43*OFFSET(ORÇAMENTO!$X$15,ROW(AD43)-ROW(AD$15),0),0)</f>
        <v>716.28</v>
      </c>
      <c r="AE43" s="594">
        <f ca="1">IF(AND($D43="Serviço",AE$12&lt;&gt;0,$H43&gt;0,OR(AUTOEVENTO&lt;&gt;"manual",$M43&lt;&gt;1)),ROUND(OFFSET($P43,0,AE$13),15-13*ORÇAMENTO!$AF$7)/$H43*OFFSET(ORÇAMENTO!$X$15,ROW(AE43)-ROW(AE$15),0),0)</f>
        <v>716.28</v>
      </c>
      <c r="AF43" s="594">
        <f ca="1">IF(AND($D43="Serviço",AF$12&lt;&gt;0,$H43&gt;0,OR(AUTOEVENTO&lt;&gt;"manual",$M43&lt;&gt;1)),ROUND(OFFSET($P43,0,AF$13),15-13*ORÇAMENTO!$AF$7)/$H43*OFFSET(ORÇAMENTO!$X$15,ROW(AF43)-ROW(AF$15),0),0)</f>
        <v>716.28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1074.4199999999998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2</v>
      </c>
      <c r="AN43" s="216">
        <f ca="1">IF($D43&lt;&gt;"Serviço",0,IF(AND(AUTOEVENTO="Manual",$M43=1),0,IF(OFFSET(CRONOPLE!$F$14,$M43,AN$13)="",10^12,OFFSET(CRONOPLE!$F$14,$M43,AN$13))))</f>
        <v>2</v>
      </c>
      <c r="AO43" s="216">
        <f ca="1">IF($D43&lt;&gt;"Serviço",0,IF(AND(AUTOEVENTO="Manual",$M43=1),0,IF(OFFSET(CRONOPLE!$F$14,$M43,AO$13)="",10^12,OFFSET(CRONOPLE!$F$14,$M43,AO$13))))</f>
        <v>2</v>
      </c>
      <c r="AP43" s="216">
        <f ca="1">IF($D43&lt;&gt;"Serviço",0,IF(AND(AUTOEVENTO="Manual",$M43=1),0,IF(OFFSET(CRONOPLE!$F$14,$M43,AP$13)="",10^12,OFFSET(CRONOPLE!$F$14,$M43,AP$13))))</f>
        <v>2</v>
      </c>
      <c r="AQ43" s="216">
        <f ca="1">IF($D43&lt;&gt;"Serviço",0,IF(AND(AUTOEVENTO="Manual",$M43=1),0,IF(OFFSET(CRONOPLE!$F$14,$M43,AQ$13)="",10^12,OFFSET(CRONOPLE!$F$14,$M43,AQ$13))))</f>
        <v>2</v>
      </c>
      <c r="AR43" s="216">
        <f ca="1">IF($D43&lt;&gt;"Serviço",0,IF(AND(AUTOEVENTO="Manual",$M43=1),0,IF(OFFSET(CRONOPLE!$F$14,$M43,AR$13)="",10^12,OFFSET(CRONOPLE!$F$14,$M43,AR$13))))</f>
        <v>2</v>
      </c>
      <c r="AS43" s="216">
        <f ca="1">IF($D43&lt;&gt;"Serviço",0,IF(AND(AUTOEVENTO="Manual",$M43=1),0,IF(OFFSET(CRONOPLE!$F$14,$M43,AS$13)="",10^12,OFFSET(CRONOPLE!$F$14,$M43,AS$13))))</f>
        <v>2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76.5" hidden="1" x14ac:dyDescent="0.2">
      <c r="A44" s="9" t="str">
        <f t="shared" ca="1" si="8"/>
        <v>24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PLACA DE SINALIZAÇÃO REFLETIVA - LOSANGO (0,2025 M2/UD) + SUPORTE METÁLICO</v>
      </c>
      <c r="G44" s="208" t="str">
        <f ca="1">IF($D44&lt;&gt;"Serviço","",OFFSET(ORÇAMENTO!S$15,ROW(G44)-ROW(G$15),0))</f>
        <v>UN.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 t="s">
        <v>473</v>
      </c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5</v>
      </c>
      <c r="N44" s="212" t="str">
        <f ca="1">IF($D44&lt;&gt;"Serviço","",IF(AUTOEVENTO="Manual",IF($A44=0,"&lt;-- defina o número do agrupador",OFFSET(EVENTOS!$D$14,$A44,0)),OFFSET($F$15,$A44,0)))</f>
        <v>SINALIZAÇÃO VIÁRIA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2</v>
      </c>
      <c r="AN44" s="216">
        <f ca="1">IF($D44&lt;&gt;"Serviço",0,IF(AND(AUTOEVENTO="Manual",$M44=1),0,IF(OFFSET(CRONOPLE!$F$14,$M44,AN$13)="",10^12,OFFSET(CRONOPLE!$F$14,$M44,AN$13))))</f>
        <v>2</v>
      </c>
      <c r="AO44" s="216">
        <f ca="1">IF($D44&lt;&gt;"Serviço",0,IF(AND(AUTOEVENTO="Manual",$M44=1),0,IF(OFFSET(CRONOPLE!$F$14,$M44,AO$13)="",10^12,OFFSET(CRONOPLE!$F$14,$M44,AO$13))))</f>
        <v>2</v>
      </c>
      <c r="AP44" s="216">
        <f ca="1">IF($D44&lt;&gt;"Serviço",0,IF(AND(AUTOEVENTO="Manual",$M44=1),0,IF(OFFSET(CRONOPLE!$F$14,$M44,AP$13)="",10^12,OFFSET(CRONOPLE!$F$14,$M44,AP$13))))</f>
        <v>2</v>
      </c>
      <c r="AQ44" s="216">
        <f ca="1">IF($D44&lt;&gt;"Serviço",0,IF(AND(AUTOEVENTO="Manual",$M44=1),0,IF(OFFSET(CRONOPLE!$F$14,$M44,AQ$13)="",10^12,OFFSET(CRONOPLE!$F$14,$M44,AQ$13))))</f>
        <v>2</v>
      </c>
      <c r="AR44" s="216">
        <f ca="1">IF($D44&lt;&gt;"Serviço",0,IF(AND(AUTOEVENTO="Manual",$M44=1),0,IF(OFFSET(CRONOPLE!$F$14,$M44,AR$13)="",10^12,OFFSET(CRONOPLE!$F$14,$M44,AR$13))))</f>
        <v>2</v>
      </c>
      <c r="AS44" s="216">
        <f ca="1">IF($D44&lt;&gt;"Serviço",0,IF(AND(AUTOEVENTO="Manual",$M44=1),0,IF(OFFSET(CRONOPLE!$F$14,$M44,AS$13)="",10^12,OFFSET(CRONOPLE!$F$14,$M44,AS$13))))</f>
        <v>2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hidden="1" x14ac:dyDescent="0.2">
      <c r="A45" s="9" t="str">
        <f t="shared" ca="1" si="8"/>
        <v>24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6" t="str">
        <f ca="1">OFFSET(ORÇAMENTO!N$15,ROW(D45)-ROW(D$15),0)</f>
        <v>Serviço</v>
      </c>
      <c r="E45" s="206" t="str">
        <f ca="1">OFFSET(ORÇAMENTO!O$15,ROW(E45)-ROW(E$15),0)</f>
        <v>-</v>
      </c>
      <c r="F45" s="207" t="str">
        <f ca="1">OFFSET(ORÇAMENTO!R$15,ROW(F45)-ROW(F$15),0)</f>
        <v>(Sem Código)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5</v>
      </c>
      <c r="N45" s="212" t="str">
        <f ca="1">IF($D45&lt;&gt;"Serviço","",IF(AUTOEVENTO="Manual",IF($A45=0,"&lt;-- defina o número do agrupador",OFFSET(EVENTOS!$D$14,$A45,0)),OFFSET($F$15,$A45,0)))</f>
        <v>SINALIZAÇÃO VIÁRIA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2</v>
      </c>
      <c r="AN45" s="216">
        <f ca="1">IF($D45&lt;&gt;"Serviço",0,IF(AND(AUTOEVENTO="Manual",$M45=1),0,IF(OFFSET(CRONOPLE!$F$14,$M45,AN$13)="",10^12,OFFSET(CRONOPLE!$F$14,$M45,AN$13))))</f>
        <v>2</v>
      </c>
      <c r="AO45" s="216">
        <f ca="1">IF($D45&lt;&gt;"Serviço",0,IF(AND(AUTOEVENTO="Manual",$M45=1),0,IF(OFFSET(CRONOPLE!$F$14,$M45,AO$13)="",10^12,OFFSET(CRONOPLE!$F$14,$M45,AO$13))))</f>
        <v>2</v>
      </c>
      <c r="AP45" s="216">
        <f ca="1">IF($D45&lt;&gt;"Serviço",0,IF(AND(AUTOEVENTO="Manual",$M45=1),0,IF(OFFSET(CRONOPLE!$F$14,$M45,AP$13)="",10^12,OFFSET(CRONOPLE!$F$14,$M45,AP$13))))</f>
        <v>2</v>
      </c>
      <c r="AQ45" s="216">
        <f ca="1">IF($D45&lt;&gt;"Serviço",0,IF(AND(AUTOEVENTO="Manual",$M45=1),0,IF(OFFSET(CRONOPLE!$F$14,$M45,AQ$13)="",10^12,OFFSET(CRONOPLE!$F$14,$M45,AQ$13))))</f>
        <v>2</v>
      </c>
      <c r="AR45" s="216">
        <f ca="1">IF($D45&lt;&gt;"Serviço",0,IF(AND(AUTOEVENTO="Manual",$M45=1),0,IF(OFFSET(CRONOPLE!$F$14,$M45,AR$13)="",10^12,OFFSET(CRONOPLE!$F$14,$M45,AR$13))))</f>
        <v>2</v>
      </c>
      <c r="AS45" s="216">
        <f ca="1">IF($D45&lt;&gt;"Serviço",0,IF(AND(AUTOEVENTO="Manual",$M45=1),0,IF(OFFSET(CRONOPLE!$F$14,$M45,AS$13)="",10^12,OFFSET(CRONOPLE!$F$14,$M45,AS$13))))</f>
        <v>2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hidden="1" x14ac:dyDescent="0.2">
      <c r="A46" s="9" t="str">
        <f t="shared" ca="1" si="8"/>
        <v>24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(Sem Código)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5</v>
      </c>
      <c r="N46" s="212" t="str">
        <f ca="1">IF($D46&lt;&gt;"Serviço","",IF(AUTOEVENTO="Manual",IF($A46=0,"&lt;-- defina o número do agrupador",OFFSET(EVENTOS!$D$14,$A46,0)),OFFSET($F$15,$A46,0)))</f>
        <v>SINALIZAÇÃO VIÁRIA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2</v>
      </c>
      <c r="AN46" s="216">
        <f ca="1">IF($D46&lt;&gt;"Serviço",0,IF(AND(AUTOEVENTO="Manual",$M46=1),0,IF(OFFSET(CRONOPLE!$F$14,$M46,AN$13)="",10^12,OFFSET(CRONOPLE!$F$14,$M46,AN$13))))</f>
        <v>2</v>
      </c>
      <c r="AO46" s="216">
        <f ca="1">IF($D46&lt;&gt;"Serviço",0,IF(AND(AUTOEVENTO="Manual",$M46=1),0,IF(OFFSET(CRONOPLE!$F$14,$M46,AO$13)="",10^12,OFFSET(CRONOPLE!$F$14,$M46,AO$13))))</f>
        <v>2</v>
      </c>
      <c r="AP46" s="216">
        <f ca="1">IF($D46&lt;&gt;"Serviço",0,IF(AND(AUTOEVENTO="Manual",$M46=1),0,IF(OFFSET(CRONOPLE!$F$14,$M46,AP$13)="",10^12,OFFSET(CRONOPLE!$F$14,$M46,AP$13))))</f>
        <v>2</v>
      </c>
      <c r="AQ46" s="216">
        <f ca="1">IF($D46&lt;&gt;"Serviço",0,IF(AND(AUTOEVENTO="Manual",$M46=1),0,IF(OFFSET(CRONOPLE!$F$14,$M46,AQ$13)="",10^12,OFFSET(CRONOPLE!$F$14,$M46,AQ$13))))</f>
        <v>2</v>
      </c>
      <c r="AR46" s="216">
        <f ca="1">IF($D46&lt;&gt;"Serviço",0,IF(AND(AUTOEVENTO="Manual",$M46=1),0,IF(OFFSET(CRONOPLE!$F$14,$M46,AR$13)="",10^12,OFFSET(CRONOPLE!$F$14,$M46,AR$13))))</f>
        <v>2</v>
      </c>
      <c r="AS46" s="216">
        <f ca="1">IF($D46&lt;&gt;"Serviço",0,IF(AND(AUTOEVENTO="Manual",$M46=1),0,IF(OFFSET(CRONOPLE!$F$14,$M46,AS$13)="",10^12,OFFSET(CRONOPLE!$F$14,$M46,AS$13))))</f>
        <v>2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hidden="1" x14ac:dyDescent="0.2">
      <c r="A47" s="9" t="str">
        <f t="shared" ca="1" si="8"/>
        <v>24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(Sem Código)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5</v>
      </c>
      <c r="N47" s="212" t="str">
        <f ca="1">IF($D47&lt;&gt;"Serviço","",IF(AUTOEVENTO="Manual",IF($A47=0,"&lt;-- defina o número do agrupador",OFFSET(EVENTOS!$D$14,$A47,0)),OFFSET($F$15,$A47,0)))</f>
        <v>SINALIZAÇÃO VIÁRIA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2</v>
      </c>
      <c r="AN47" s="216">
        <f ca="1">IF($D47&lt;&gt;"Serviço",0,IF(AND(AUTOEVENTO="Manual",$M47=1),0,IF(OFFSET(CRONOPLE!$F$14,$M47,AN$13)="",10^12,OFFSET(CRONOPLE!$F$14,$M47,AN$13))))</f>
        <v>2</v>
      </c>
      <c r="AO47" s="216">
        <f ca="1">IF($D47&lt;&gt;"Serviço",0,IF(AND(AUTOEVENTO="Manual",$M47=1),0,IF(OFFSET(CRONOPLE!$F$14,$M47,AO$13)="",10^12,OFFSET(CRONOPLE!$F$14,$M47,AO$13))))</f>
        <v>2</v>
      </c>
      <c r="AP47" s="216">
        <f ca="1">IF($D47&lt;&gt;"Serviço",0,IF(AND(AUTOEVENTO="Manual",$M47=1),0,IF(OFFSET(CRONOPLE!$F$14,$M47,AP$13)="",10^12,OFFSET(CRONOPLE!$F$14,$M47,AP$13))))</f>
        <v>2</v>
      </c>
      <c r="AQ47" s="216">
        <f ca="1">IF($D47&lt;&gt;"Serviço",0,IF(AND(AUTOEVENTO="Manual",$M47=1),0,IF(OFFSET(CRONOPLE!$F$14,$M47,AQ$13)="",10^12,OFFSET(CRONOPLE!$F$14,$M47,AQ$13))))</f>
        <v>2</v>
      </c>
      <c r="AR47" s="216">
        <f ca="1">IF($D47&lt;&gt;"Serviço",0,IF(AND(AUTOEVENTO="Manual",$M47=1),0,IF(OFFSET(CRONOPLE!$F$14,$M47,AR$13)="",10^12,OFFSET(CRONOPLE!$F$14,$M47,AR$13))))</f>
        <v>2</v>
      </c>
      <c r="AS47" s="216">
        <f ca="1">IF($D47&lt;&gt;"Serviço",0,IF(AND(AUTOEVENTO="Manual",$M47=1),0,IF(OFFSET(CRONOPLE!$F$14,$M47,AS$13)="",10^12,OFFSET(CRONOPLE!$F$14,$M47,AS$13))))</f>
        <v>2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hidden="1" x14ac:dyDescent="0.2">
      <c r="A48" s="9" t="str">
        <f t="shared" ca="1" si="8"/>
        <v>24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(Sem Código)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5</v>
      </c>
      <c r="N48" s="212" t="str">
        <f ca="1">IF($D48&lt;&gt;"Serviço","",IF(AUTOEVENTO="Manual",IF($A48=0,"&lt;-- defina o número do agrupador",OFFSET(EVENTOS!$D$14,$A48,0)),OFFSET($F$15,$A48,0)))</f>
        <v>SINALIZAÇÃO VIÁRIA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2</v>
      </c>
      <c r="AN48" s="216">
        <f ca="1">IF($D48&lt;&gt;"Serviço",0,IF(AND(AUTOEVENTO="Manual",$M48=1),0,IF(OFFSET(CRONOPLE!$F$14,$M48,AN$13)="",10^12,OFFSET(CRONOPLE!$F$14,$M48,AN$13))))</f>
        <v>2</v>
      </c>
      <c r="AO48" s="216">
        <f ca="1">IF($D48&lt;&gt;"Serviço",0,IF(AND(AUTOEVENTO="Manual",$M48=1),0,IF(OFFSET(CRONOPLE!$F$14,$M48,AO$13)="",10^12,OFFSET(CRONOPLE!$F$14,$M48,AO$13))))</f>
        <v>2</v>
      </c>
      <c r="AP48" s="216">
        <f ca="1">IF($D48&lt;&gt;"Serviço",0,IF(AND(AUTOEVENTO="Manual",$M48=1),0,IF(OFFSET(CRONOPLE!$F$14,$M48,AP$13)="",10^12,OFFSET(CRONOPLE!$F$14,$M48,AP$13))))</f>
        <v>2</v>
      </c>
      <c r="AQ48" s="216">
        <f ca="1">IF($D48&lt;&gt;"Serviço",0,IF(AND(AUTOEVENTO="Manual",$M48=1),0,IF(OFFSET(CRONOPLE!$F$14,$M48,AQ$13)="",10^12,OFFSET(CRONOPLE!$F$14,$M48,AQ$13))))</f>
        <v>2</v>
      </c>
      <c r="AR48" s="216">
        <f ca="1">IF($D48&lt;&gt;"Serviço",0,IF(AND(AUTOEVENTO="Manual",$M48=1),0,IF(OFFSET(CRONOPLE!$F$14,$M48,AR$13)="",10^12,OFFSET(CRONOPLE!$F$14,$M48,AR$13))))</f>
        <v>2</v>
      </c>
      <c r="AS48" s="216">
        <f ca="1">IF($D48&lt;&gt;"Serviço",0,IF(AND(AUTOEVENTO="Manual",$M48=1),0,IF(OFFSET(CRONOPLE!$F$14,$M48,AS$13)="",10^12,OFFSET(CRONOPLE!$F$14,$M48,AS$13))))</f>
        <v>2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hidden="1" x14ac:dyDescent="0.2">
      <c r="A49" s="9" t="str">
        <f t="shared" ca="1" si="8"/>
        <v>24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6" t="str">
        <f ca="1">OFFSET(ORÇAMENTO!N$15,ROW(D49)-ROW(D$15),0)</f>
        <v>Serviço</v>
      </c>
      <c r="E49" s="206" t="str">
        <f ca="1">OFFSET(ORÇAMENTO!O$15,ROW(E49)-ROW(E$15),0)</f>
        <v>-</v>
      </c>
      <c r="F49" s="207" t="str">
        <f ca="1">OFFSET(ORÇAMENTO!R$15,ROW(F49)-ROW(F$15),0)</f>
        <v>(Sem Código)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5</v>
      </c>
      <c r="N49" s="212" t="str">
        <f ca="1">IF($D49&lt;&gt;"Serviço","",IF(AUTOEVENTO="Manual",IF($A49=0,"&lt;-- defina o número do agrupador",OFFSET(EVENTOS!$D$14,$A49,0)),OFFSET($F$15,$A49,0)))</f>
        <v>SINALIZAÇÃO VIÁRIA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2</v>
      </c>
      <c r="AN49" s="216">
        <f ca="1">IF($D49&lt;&gt;"Serviço",0,IF(AND(AUTOEVENTO="Manual",$M49=1),0,IF(OFFSET(CRONOPLE!$F$14,$M49,AN$13)="",10^12,OFFSET(CRONOPLE!$F$14,$M49,AN$13))))</f>
        <v>2</v>
      </c>
      <c r="AO49" s="216">
        <f ca="1">IF($D49&lt;&gt;"Serviço",0,IF(AND(AUTOEVENTO="Manual",$M49=1),0,IF(OFFSET(CRONOPLE!$F$14,$M49,AO$13)="",10^12,OFFSET(CRONOPLE!$F$14,$M49,AO$13))))</f>
        <v>2</v>
      </c>
      <c r="AP49" s="216">
        <f ca="1">IF($D49&lt;&gt;"Serviço",0,IF(AND(AUTOEVENTO="Manual",$M49=1),0,IF(OFFSET(CRONOPLE!$F$14,$M49,AP$13)="",10^12,OFFSET(CRONOPLE!$F$14,$M49,AP$13))))</f>
        <v>2</v>
      </c>
      <c r="AQ49" s="216">
        <f ca="1">IF($D49&lt;&gt;"Serviço",0,IF(AND(AUTOEVENTO="Manual",$M49=1),0,IF(OFFSET(CRONOPLE!$F$14,$M49,AQ$13)="",10^12,OFFSET(CRONOPLE!$F$14,$M49,AQ$13))))</f>
        <v>2</v>
      </c>
      <c r="AR49" s="216">
        <f ca="1">IF($D49&lt;&gt;"Serviço",0,IF(AND(AUTOEVENTO="Manual",$M49=1),0,IF(OFFSET(CRONOPLE!$F$14,$M49,AR$13)="",10^12,OFFSET(CRONOPLE!$F$14,$M49,AR$13))))</f>
        <v>2</v>
      </c>
      <c r="AS49" s="216">
        <f ca="1">IF($D49&lt;&gt;"Serviço",0,IF(AND(AUTOEVENTO="Manual",$M49=1),0,IF(OFFSET(CRONOPLE!$F$14,$M49,AS$13)="",10^12,OFFSET(CRONOPLE!$F$14,$M49,AS$13))))</f>
        <v>2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hidden="1" x14ac:dyDescent="0.2">
      <c r="A50" s="9" t="str">
        <f t="shared" ca="1" si="8"/>
        <v>24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6" t="str">
        <f ca="1">OFFSET(ORÇAMENTO!N$15,ROW(D50)-ROW(D$15),0)</f>
        <v>Serviço</v>
      </c>
      <c r="E50" s="206" t="str">
        <f ca="1">OFFSET(ORÇAMENTO!O$15,ROW(E50)-ROW(E$15),0)</f>
        <v>-</v>
      </c>
      <c r="F50" s="207" t="str">
        <f ca="1">OFFSET(ORÇAMENTO!R$15,ROW(F50)-ROW(F$15),0)</f>
        <v>(Sem Código)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5</v>
      </c>
      <c r="N50" s="212" t="str">
        <f ca="1">IF($D50&lt;&gt;"Serviço","",IF(AUTOEVENTO="Manual",IF($A50=0,"&lt;-- defina o número do agrupador",OFFSET(EVENTOS!$D$14,$A50,0)),OFFSET($F$15,$A50,0)))</f>
        <v>SINALIZAÇÃO VIÁRIA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2</v>
      </c>
      <c r="AN50" s="216">
        <f ca="1">IF($D50&lt;&gt;"Serviço",0,IF(AND(AUTOEVENTO="Manual",$M50=1),0,IF(OFFSET(CRONOPLE!$F$14,$M50,AN$13)="",10^12,OFFSET(CRONOPLE!$F$14,$M50,AN$13))))</f>
        <v>2</v>
      </c>
      <c r="AO50" s="216">
        <f ca="1">IF($D50&lt;&gt;"Serviço",0,IF(AND(AUTOEVENTO="Manual",$M50=1),0,IF(OFFSET(CRONOPLE!$F$14,$M50,AO$13)="",10^12,OFFSET(CRONOPLE!$F$14,$M50,AO$13))))</f>
        <v>2</v>
      </c>
      <c r="AP50" s="216">
        <f ca="1">IF($D50&lt;&gt;"Serviço",0,IF(AND(AUTOEVENTO="Manual",$M50=1),0,IF(OFFSET(CRONOPLE!$F$14,$M50,AP$13)="",10^12,OFFSET(CRONOPLE!$F$14,$M50,AP$13))))</f>
        <v>2</v>
      </c>
      <c r="AQ50" s="216">
        <f ca="1">IF($D50&lt;&gt;"Serviço",0,IF(AND(AUTOEVENTO="Manual",$M50=1),0,IF(OFFSET(CRONOPLE!$F$14,$M50,AQ$13)="",10^12,OFFSET(CRONOPLE!$F$14,$M50,AQ$13))))</f>
        <v>2</v>
      </c>
      <c r="AR50" s="216">
        <f ca="1">IF($D50&lt;&gt;"Serviço",0,IF(AND(AUTOEVENTO="Manual",$M50=1),0,IF(OFFSET(CRONOPLE!$F$14,$M50,AR$13)="",10^12,OFFSET(CRONOPLE!$F$14,$M50,AR$13))))</f>
        <v>2</v>
      </c>
      <c r="AS50" s="216">
        <f ca="1">IF($D50&lt;&gt;"Serviço",0,IF(AND(AUTOEVENTO="Manual",$M50=1),0,IF(OFFSET(CRONOPLE!$F$14,$M50,AS$13)="",10^12,OFFSET(CRONOPLE!$F$14,$M50,AS$13))))</f>
        <v>2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x14ac:dyDescent="0.2">
      <c r="A51" s="9" t="str">
        <f t="shared" ca="1" si="8"/>
        <v>36.</v>
      </c>
      <c r="B51" s="9">
        <f ca="1">OFFSET(ORÇAMENTO!C$15,ROW(B51)-ROW(B$15),0)</f>
        <v>2</v>
      </c>
      <c r="C51" s="9" t="str">
        <f ca="1">OFFSET(ORÇAMENTO!L$15,ROW(C51)-ROW(C$15),0)</f>
        <v>F</v>
      </c>
      <c r="D51" s="146" t="str">
        <f ca="1">OFFSET(ORÇAMENTO!N$15,ROW(D51)-ROW(D$15),0)</f>
        <v>Nível 2</v>
      </c>
      <c r="E51" s="206" t="str">
        <f ca="1">OFFSET(ORÇAMENTO!O$15,ROW(E51)-ROW(E$15),0)</f>
        <v>1.5.</v>
      </c>
      <c r="F51" s="207" t="str">
        <f ca="1">OFFSET(ORÇAMENTO!R$15,ROW(F51)-ROW(F$15),0)</f>
        <v>ENSAIOS TECNOLÓGICOS</v>
      </c>
      <c r="G51" s="208" t="str">
        <f ca="1">IF($D51&lt;&gt;"Serviço","",OFFSET(ORÇAMENTO!S$15,ROW(G51)-ROW(G$15),0))</f>
        <v/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 t="str">
        <f ca="1">IF($D51&lt;&gt;"Serviço","",IF(AUTOEVENTO="manual",$A51,IF(ISERROR(MATCH($A51,$A$15:OFFSET($A51,-1,0),0)),MAX($M$15:OFFSET(M51,-1,0))+1,INDEX($M$15:OFFSET(M51,-1,0),MATCH($A51,$A$15:OFFSET($A51,-1,0),0)))))</f>
        <v/>
      </c>
      <c r="N51" s="212" t="str">
        <f ca="1">IF($D51&lt;&gt;"Serviço","",IF(AUTOEVENTO="Manual",IF($A51=0,"&lt;-- defina o número do agrupador",OFFSET(EVENTOS!$D$14,$A51,0)),OFFSET($F$15,$A51,0)))</f>
        <v/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0</v>
      </c>
      <c r="AN51" s="216">
        <f ca="1">IF($D51&lt;&gt;"Serviço",0,IF(AND(AUTOEVENTO="Manual",$M51=1),0,IF(OFFSET(CRONOPLE!$F$14,$M51,AN$13)="",10^12,OFFSET(CRONOPLE!$F$14,$M51,AN$13))))</f>
        <v>0</v>
      </c>
      <c r="AO51" s="216">
        <f ca="1">IF($D51&lt;&gt;"Serviço",0,IF(AND(AUTOEVENTO="Manual",$M51=1),0,IF(OFFSET(CRONOPLE!$F$14,$M51,AO$13)="",10^12,OFFSET(CRONOPLE!$F$14,$M51,AO$13))))</f>
        <v>0</v>
      </c>
      <c r="AP51" s="216">
        <f ca="1">IF($D51&lt;&gt;"Serviço",0,IF(AND(AUTOEVENTO="Manual",$M51=1),0,IF(OFFSET(CRONOPLE!$F$14,$M51,AP$13)="",10^12,OFFSET(CRONOPLE!$F$14,$M51,AP$13))))</f>
        <v>0</v>
      </c>
      <c r="AQ51" s="216">
        <f ca="1">IF($D51&lt;&gt;"Serviço",0,IF(AND(AUTOEVENTO="Manual",$M51=1),0,IF(OFFSET(CRONOPLE!$F$14,$M51,AQ$13)="",10^12,OFFSET(CRONOPLE!$F$14,$M51,AQ$13))))</f>
        <v>0</v>
      </c>
      <c r="AR51" s="216">
        <f ca="1">IF($D51&lt;&gt;"Serviço",0,IF(AND(AUTOEVENTO="Manual",$M51=1),0,IF(OFFSET(CRONOPLE!$F$14,$M51,AR$13)="",10^12,OFFSET(CRONOPLE!$F$14,$M51,AR$13))))</f>
        <v>0</v>
      </c>
      <c r="AS51" s="216">
        <f ca="1">IF($D51&lt;&gt;"Serviço",0,IF(AND(AUTOEVENTO="Manual",$M51=1),0,IF(OFFSET(CRONOPLE!$F$14,$M51,AS$13)="",10^12,OFFSET(CRONOPLE!$F$14,$M51,AS$13))))</f>
        <v>0</v>
      </c>
      <c r="AT51" s="216">
        <f ca="1">IF($D51&lt;&gt;"Serviço",0,IF(AND(AUTOEVENTO="Manual",$M51=1),0,IF(OFFSET(CRONOPLE!$F$14,$M51,AT$13)="",10^12,OFFSET(CRONOPLE!$F$14,$M51,AT$13))))</f>
        <v>0</v>
      </c>
      <c r="AU51" s="216">
        <f ca="1">IF($D51&lt;&gt;"Serviço",0,IF(AND(AUTOEVENTO="Manual",$M51=1),0,IF(OFFSET(CRONOPLE!$F$14,$M51,AU$13)="",10^12,OFFSET(CRONOPLE!$F$14,$M51,AU$13))))</f>
        <v>0</v>
      </c>
      <c r="AV51" s="216">
        <f ca="1">IF($D51&lt;&gt;"Serviço",0,IF(AND(AUTOEVENTO="Manual",$M51=1),0,IF(OFFSET(CRONOPLE!$F$14,$M51,AV$13)="",10^12,OFFSET(CRONOPLE!$F$14,$M51,AV$13))))</f>
        <v>0</v>
      </c>
      <c r="AX51" s="217">
        <f ca="1">IF($D51&lt;&gt;"Serviço",0,IF(OR(AND(AUTOEVENTO="Manual",$M51=1),$M51&gt;(ROW(PLE.lastrow)-ROW(PLE.firstrow))),0,IF(OFFSET(PLE!$G$14,$M51,AX$13)="",10^12,OFFSET(PLE!$G$14,$M51,AX$13))))</f>
        <v>0</v>
      </c>
      <c r="AY51" s="217">
        <f ca="1">IF($D51&lt;&gt;"Serviço",0,IF(OR(AND(AUTOEVENTO="Manual",$M51=1),$M51&gt;(ROW(PLE.lastrow)-ROW(PLE.firstrow))),0,IF(OFFSET(PLE!$G$14,$M51,AY$13)="",10^12,OFFSET(PLE!$G$14,$M51,AY$13))))</f>
        <v>0</v>
      </c>
      <c r="AZ51" s="217">
        <f ca="1">IF($D51&lt;&gt;"Serviço",0,IF(OR(AND(AUTOEVENTO="Manual",$M51=1),$M51&gt;(ROW(PLE.lastrow)-ROW(PLE.firstrow))),0,IF(OFFSET(PLE!$G$14,$M51,AZ$13)="",10^12,OFFSET(PLE!$G$14,$M51,AZ$13))))</f>
        <v>0</v>
      </c>
      <c r="BA51" s="217">
        <f ca="1">IF($D51&lt;&gt;"Serviço",0,IF(OR(AND(AUTOEVENTO="Manual",$M51=1),$M51&gt;(ROW(PLE.lastrow)-ROW(PLE.firstrow))),0,IF(OFFSET(PLE!$G$14,$M51,BA$13)="",10^12,OFFSET(PLE!$G$14,$M51,BA$13))))</f>
        <v>0</v>
      </c>
      <c r="BB51" s="217">
        <f ca="1">IF($D51&lt;&gt;"Serviço",0,IF(OR(AND(AUTOEVENTO="Manual",$M51=1),$M51&gt;(ROW(PLE.lastrow)-ROW(PLE.firstrow))),0,IF(OFFSET(PLE!$G$14,$M51,BB$13)="",10^12,OFFSET(PLE!$G$14,$M51,BB$13))))</f>
        <v>0</v>
      </c>
      <c r="BC51" s="217">
        <f ca="1">IF($D51&lt;&gt;"Serviço",0,IF(OR(AND(AUTOEVENTO="Manual",$M51=1),$M51&gt;(ROW(PLE.lastrow)-ROW(PLE.firstrow))),0,IF(OFFSET(PLE!$G$14,$M51,BC$13)="",10^12,OFFSET(PLE!$G$14,$M51,BC$13))))</f>
        <v>0</v>
      </c>
      <c r="BD51" s="217">
        <f ca="1">IF($D51&lt;&gt;"Serviço",0,IF(OR(AND(AUTOEVENTO="Manual",$M51=1),$M51&gt;(ROW(PLE.lastrow)-ROW(PLE.firstrow))),0,IF(OFFSET(PLE!$G$14,$M51,BD$13)="",10^12,OFFSET(PLE!$G$14,$M51,BD$13))))</f>
        <v>0</v>
      </c>
      <c r="BE51" s="217">
        <f ca="1">IF($D51&lt;&gt;"Serviço",0,IF(OR(AND(AUTOEVENTO="Manual",$M51=1),$M51&gt;(ROW(PLE.lastrow)-ROW(PLE.firstrow))),0,IF(OFFSET(PLE!$G$14,$M51,BE$13)="",10^12,OFFSET(PLE!$G$14,$M51,BE$13))))</f>
        <v>0</v>
      </c>
      <c r="BF51" s="217">
        <f ca="1">IF($D51&lt;&gt;"Serviço",0,IF(OR(AND(AUTOEVENTO="Manual",$M51=1),$M51&gt;(ROW(PLE.lastrow)-ROW(PLE.firstrow))),0,IF(OFFSET(PLE!$G$14,$M51,BF$13)="",10^12,OFFSET(PLE!$G$14,$M51,BF$13))))</f>
        <v>0</v>
      </c>
      <c r="BG51" s="217">
        <f ca="1">IF($D51&lt;&gt;"Serviço",0,IF(OR(AND(AUTOEVENTO="Manual",$M51=1),$M51&gt;(ROW(PLE.lastrow)-ROW(PLE.firstrow))),0,IF(OFFSET(PLE!$G$14,$M51,BG$13)="",10^12,OFFSET(PLE!$G$14,$M51,BG$13))))</f>
        <v>0</v>
      </c>
    </row>
    <row r="52" spans="1:59" ht="25.5" x14ac:dyDescent="0.2">
      <c r="A52" s="9" t="str">
        <f t="shared" ca="1" si="8"/>
        <v>36</v>
      </c>
      <c r="B52" s="9" t="str">
        <f ca="1">OFFSET(ORÇAMENTO!C$15,ROW(B52)-ROW(B$15),0)</f>
        <v>S</v>
      </c>
      <c r="C52" s="9" t="str">
        <f ca="1">OFFSET(ORÇAMENTO!L$15,ROW(C52)-ROW(C$15),0)</f>
        <v>F</v>
      </c>
      <c r="D52" s="146" t="str">
        <f ca="1">OFFSET(ORÇAMENTO!N$15,ROW(D52)-ROW(D$15),0)</f>
        <v>Serviço</v>
      </c>
      <c r="E52" s="206" t="str">
        <f ca="1">OFFSET(ORÇAMENTO!O$15,ROW(E52)-ROW(E$15),0)</f>
        <v>1.5.1.</v>
      </c>
      <c r="F52" s="207" t="str">
        <f ca="1">OFFSET(ORÇAMENTO!R$15,ROW(F52)-ROW(F$15),0)</f>
        <v>MOBILIZAÇÃO E DEMOBILIZAÇÃO DE EQUIPEMENTO E EQUIPE PARA EXTRAÇÃO DE CORPOS DE PROVA DA CAPA ASFÁLTICA</v>
      </c>
      <c r="G52" s="208" t="str">
        <f ca="1">IF($D52&lt;&gt;"Serviço","",OFFSET(ORÇAMENTO!S$15,ROW(G52)-ROW(G$15),0))</f>
        <v>GB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1</v>
      </c>
      <c r="I52" s="612" t="s">
        <v>450</v>
      </c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6</v>
      </c>
      <c r="N52" s="212" t="str">
        <f ca="1">IF($D52&lt;&gt;"Serviço","",IF(AUTOEVENTO="Manual",IF($A52=0,"&lt;-- defina o número do agrupador",OFFSET(EVENTOS!$D$14,$A52,0)),OFFSET($F$15,$A52,0)))</f>
        <v>ENSAIOS TECNOLÓGICOS</v>
      </c>
      <c r="O52" s="213"/>
      <c r="Q52" s="213">
        <f t="shared" ref="Q52:V52" si="15">(1/15)*Q53</f>
        <v>0.13333333333333333</v>
      </c>
      <c r="R52" s="213">
        <f t="shared" si="15"/>
        <v>0.13333333333333333</v>
      </c>
      <c r="S52" s="214">
        <f t="shared" si="15"/>
        <v>0.13333333333333333</v>
      </c>
      <c r="T52" s="214">
        <f t="shared" si="15"/>
        <v>6.6666666666666666E-2</v>
      </c>
      <c r="U52" s="214">
        <f t="shared" si="15"/>
        <v>0.2</v>
      </c>
      <c r="V52" s="214">
        <f t="shared" si="15"/>
        <v>0.13333333333333333</v>
      </c>
      <c r="W52" s="214">
        <v>0.21</v>
      </c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706.72680000000003</v>
      </c>
      <c r="AC52" s="594">
        <f ca="1">IF(AND($D52="Serviço",AC$12&lt;&gt;0,$H52&gt;0,OR(AUTOEVENTO&lt;&gt;"manual",$M52&lt;&gt;1)),ROUND(OFFSET($P52,0,AC$13),15-13*ORÇAMENTO!$AF$7)/$H52*OFFSET(ORÇAMENTO!$X$15,ROW(AC52)-ROW(AC$15),0),0)</f>
        <v>706.72680000000003</v>
      </c>
      <c r="AD52" s="594">
        <f ca="1">IF(AND($D52="Serviço",AD$12&lt;&gt;0,$H52&gt;0,OR(AUTOEVENTO&lt;&gt;"manual",$M52&lt;&gt;1)),ROUND(OFFSET($P52,0,AD$13),15-13*ORÇAMENTO!$AF$7)/$H52*OFFSET(ORÇAMENTO!$X$15,ROW(AD52)-ROW(AD$15),0),0)</f>
        <v>706.72680000000003</v>
      </c>
      <c r="AE52" s="594">
        <f ca="1">IF(AND($D52="Serviço",AE$12&lt;&gt;0,$H52&gt;0,OR(AUTOEVENTO&lt;&gt;"manual",$M52&lt;&gt;1)),ROUND(OFFSET($P52,0,AE$13),15-13*ORÇAMENTO!$AF$7)/$H52*OFFSET(ORÇAMENTO!$X$15,ROW(AE52)-ROW(AE$15),0),0)</f>
        <v>380.54520000000002</v>
      </c>
      <c r="AF52" s="594">
        <f ca="1">IF(AND($D52="Serviço",AF$12&lt;&gt;0,$H52&gt;0,OR(AUTOEVENTO&lt;&gt;"manual",$M52&lt;&gt;1)),ROUND(OFFSET($P52,0,AF$13),15-13*ORÇAMENTO!$AF$7)/$H52*OFFSET(ORÇAMENTO!$X$15,ROW(AF52)-ROW(AF$15),0),0)</f>
        <v>1087.2719999999999</v>
      </c>
      <c r="AG52" s="594">
        <f ca="1">IF(AND($D52="Serviço",AG$12&lt;&gt;0,$H52&gt;0,OR(AUTOEVENTO&lt;&gt;"manual",$M52&lt;&gt;1)),ROUND(OFFSET($P52,0,AG$13),15-13*ORÇAMENTO!$AF$7)/$H52*OFFSET(ORÇAMENTO!$X$15,ROW(AG52)-ROW(AG$15),0),0)</f>
        <v>706.72680000000003</v>
      </c>
      <c r="AH52" s="594">
        <f ca="1">IF(AND($D52="Serviço",AH$12&lt;&gt;0,$H52&gt;0,OR(AUTOEVENTO&lt;&gt;"manual",$M52&lt;&gt;1)),ROUND(OFFSET($P52,0,AH$13),15-13*ORÇAMENTO!$AF$7)/$H52*OFFSET(ORÇAMENTO!$X$15,ROW(AH52)-ROW(AH$15),0),0)</f>
        <v>1141.6355999999998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</v>
      </c>
      <c r="AN52" s="216">
        <f ca="1">IF($D52&lt;&gt;"Serviço",0,IF(AND(AUTOEVENTO="Manual",$M52=1),0,IF(OFFSET(CRONOPLE!$F$14,$M52,AN$13)="",10^12,OFFSET(CRONOPLE!$F$14,$M52,AN$13))))</f>
        <v>1</v>
      </c>
      <c r="AO52" s="216">
        <f ca="1">IF($D52&lt;&gt;"Serviço",0,IF(AND(AUTOEVENTO="Manual",$M52=1),0,IF(OFFSET(CRONOPLE!$F$14,$M52,AO$13)="",10^12,OFFSET(CRONOPLE!$F$14,$M52,AO$13))))</f>
        <v>1</v>
      </c>
      <c r="AP52" s="216">
        <f ca="1">IF($D52&lt;&gt;"Serviço",0,IF(AND(AUTOEVENTO="Manual",$M52=1),0,IF(OFFSET(CRONOPLE!$F$14,$M52,AP$13)="",10^12,OFFSET(CRONOPLE!$F$14,$M52,AP$13))))</f>
        <v>1</v>
      </c>
      <c r="AQ52" s="216">
        <f ca="1">IF($D52&lt;&gt;"Serviço",0,IF(AND(AUTOEVENTO="Manual",$M52=1),0,IF(OFFSET(CRONOPLE!$F$14,$M52,AQ$13)="",10^12,OFFSET(CRONOPLE!$F$14,$M52,AQ$13))))</f>
        <v>2</v>
      </c>
      <c r="AR52" s="216">
        <f ca="1">IF($D52&lt;&gt;"Serviço",0,IF(AND(AUTOEVENTO="Manual",$M52=1),0,IF(OFFSET(CRONOPLE!$F$14,$M52,AR$13)="",10^12,OFFSET(CRONOPLE!$F$14,$M52,AR$13))))</f>
        <v>2</v>
      </c>
      <c r="AS52" s="216">
        <f ca="1">IF($D52&lt;&gt;"Serviço",0,IF(AND(AUTOEVENTO="Manual",$M52=1),0,IF(OFFSET(CRONOPLE!$F$14,$M52,AS$13)="",10^12,OFFSET(CRONOPLE!$F$14,$M52,AS$13))))</f>
        <v>2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25.5" x14ac:dyDescent="0.2">
      <c r="A53" s="9" t="str">
        <f t="shared" ca="1" si="8"/>
        <v>36</v>
      </c>
      <c r="B53" s="9" t="str">
        <f ca="1">OFFSET(ORÇAMENTO!C$15,ROW(B53)-ROW(B$15),0)</f>
        <v>S</v>
      </c>
      <c r="C53" s="9" t="str">
        <f ca="1">OFFSET(ORÇAMENTO!L$15,ROW(C53)-ROW(C$15),0)</f>
        <v>F</v>
      </c>
      <c r="D53" s="146" t="str">
        <f ca="1">OFFSET(ORÇAMENTO!N$15,ROW(D53)-ROW(D$15),0)</f>
        <v>Serviço</v>
      </c>
      <c r="E53" s="206" t="str">
        <f ca="1">OFFSET(ORÇAMENTO!O$15,ROW(E53)-ROW(E$15),0)</f>
        <v>1.5.2.</v>
      </c>
      <c r="F53" s="207" t="str">
        <f ca="1">OFFSET(ORÇAMENTO!R$15,ROW(F53)-ROW(F$15),0)</f>
        <v>EXTRAÇÃO DE CORPO DE PROVA DE CONCRETO ASFÁLTICO COM SONDA ROTATIVA</v>
      </c>
      <c r="G53" s="208" t="str">
        <f ca="1">IF($D53&lt;&gt;"Serviço","",OFFSET(ORÇAMENTO!S$15,ROW(G53)-ROW(G$15),0))</f>
        <v xml:space="preserve">UN 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15</v>
      </c>
      <c r="I53" s="612" t="s">
        <v>450</v>
      </c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6</v>
      </c>
      <c r="N53" s="212" t="str">
        <f ca="1">IF($D53&lt;&gt;"Serviço","",IF(AUTOEVENTO="Manual",IF($A53=0,"&lt;-- defina o número do agrupador",OFFSET(EVENTOS!$D$14,$A53,0)),OFFSET($F$15,$A53,0)))</f>
        <v>ENSAIOS TECNOLÓGICOS</v>
      </c>
      <c r="O53" s="213"/>
      <c r="Q53" s="213">
        <v>2</v>
      </c>
      <c r="R53" s="214">
        <v>2</v>
      </c>
      <c r="S53" s="214">
        <v>2</v>
      </c>
      <c r="T53" s="214">
        <v>1</v>
      </c>
      <c r="U53" s="214">
        <v>3</v>
      </c>
      <c r="V53" s="214">
        <v>2</v>
      </c>
      <c r="W53" s="214">
        <v>3</v>
      </c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247.57999999999998</v>
      </c>
      <c r="AC53" s="594">
        <f ca="1">IF(AND($D53="Serviço",AC$12&lt;&gt;0,$H53&gt;0,OR(AUTOEVENTO&lt;&gt;"manual",$M53&lt;&gt;1)),ROUND(OFFSET($P53,0,AC$13),15-13*ORÇAMENTO!$AF$7)/$H53*OFFSET(ORÇAMENTO!$X$15,ROW(AC53)-ROW(AC$15),0),0)</f>
        <v>247.57999999999998</v>
      </c>
      <c r="AD53" s="594">
        <f ca="1">IF(AND($D53="Serviço",AD$12&lt;&gt;0,$H53&gt;0,OR(AUTOEVENTO&lt;&gt;"manual",$M53&lt;&gt;1)),ROUND(OFFSET($P53,0,AD$13),15-13*ORÇAMENTO!$AF$7)/$H53*OFFSET(ORÇAMENTO!$X$15,ROW(AD53)-ROW(AD$15),0),0)</f>
        <v>247.57999999999998</v>
      </c>
      <c r="AE53" s="594">
        <f ca="1">IF(AND($D53="Serviço",AE$12&lt;&gt;0,$H53&gt;0,OR(AUTOEVENTO&lt;&gt;"manual",$M53&lt;&gt;1)),ROUND(OFFSET($P53,0,AE$13),15-13*ORÇAMENTO!$AF$7)/$H53*OFFSET(ORÇAMENTO!$X$15,ROW(AE53)-ROW(AE$15),0),0)</f>
        <v>123.78999999999999</v>
      </c>
      <c r="AF53" s="594">
        <f ca="1">IF(AND($D53="Serviço",AF$12&lt;&gt;0,$H53&gt;0,OR(AUTOEVENTO&lt;&gt;"manual",$M53&lt;&gt;1)),ROUND(OFFSET($P53,0,AF$13),15-13*ORÇAMENTO!$AF$7)/$H53*OFFSET(ORÇAMENTO!$X$15,ROW(AF53)-ROW(AF$15),0),0)</f>
        <v>371.37</v>
      </c>
      <c r="AG53" s="594">
        <f ca="1">IF(AND($D53="Serviço",AG$12&lt;&gt;0,$H53&gt;0,OR(AUTOEVENTO&lt;&gt;"manual",$M53&lt;&gt;1)),ROUND(OFFSET($P53,0,AG$13),15-13*ORÇAMENTO!$AF$7)/$H53*OFFSET(ORÇAMENTO!$X$15,ROW(AG53)-ROW(AG$15),0),0)</f>
        <v>247.57999999999998</v>
      </c>
      <c r="AH53" s="594">
        <f ca="1">IF(AND($D53="Serviço",AH$12&lt;&gt;0,$H53&gt;0,OR(AUTOEVENTO&lt;&gt;"manual",$M53&lt;&gt;1)),ROUND(OFFSET($P53,0,AH$13),15-13*ORÇAMENTO!$AF$7)/$H53*OFFSET(ORÇAMENTO!$X$15,ROW(AH53)-ROW(AH$15),0),0)</f>
        <v>371.37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</v>
      </c>
      <c r="AN53" s="216">
        <f ca="1">IF($D53&lt;&gt;"Serviço",0,IF(AND(AUTOEVENTO="Manual",$M53=1),0,IF(OFFSET(CRONOPLE!$F$14,$M53,AN$13)="",10^12,OFFSET(CRONOPLE!$F$14,$M53,AN$13))))</f>
        <v>1</v>
      </c>
      <c r="AO53" s="216">
        <f ca="1">IF($D53&lt;&gt;"Serviço",0,IF(AND(AUTOEVENTO="Manual",$M53=1),0,IF(OFFSET(CRONOPLE!$F$14,$M53,AO$13)="",10^12,OFFSET(CRONOPLE!$F$14,$M53,AO$13))))</f>
        <v>1</v>
      </c>
      <c r="AP53" s="216">
        <f ca="1">IF($D53&lt;&gt;"Serviço",0,IF(AND(AUTOEVENTO="Manual",$M53=1),0,IF(OFFSET(CRONOPLE!$F$14,$M53,AP$13)="",10^12,OFFSET(CRONOPLE!$F$14,$M53,AP$13))))</f>
        <v>1</v>
      </c>
      <c r="AQ53" s="216">
        <f ca="1">IF($D53&lt;&gt;"Serviço",0,IF(AND(AUTOEVENTO="Manual",$M53=1),0,IF(OFFSET(CRONOPLE!$F$14,$M53,AQ$13)="",10^12,OFFSET(CRONOPLE!$F$14,$M53,AQ$13))))</f>
        <v>2</v>
      </c>
      <c r="AR53" s="216">
        <f ca="1">IF($D53&lt;&gt;"Serviço",0,IF(AND(AUTOEVENTO="Manual",$M53=1),0,IF(OFFSET(CRONOPLE!$F$14,$M53,AR$13)="",10^12,OFFSET(CRONOPLE!$F$14,$M53,AR$13))))</f>
        <v>2</v>
      </c>
      <c r="AS53" s="216">
        <f ca="1">IF($D53&lt;&gt;"Serviço",0,IF(AND(AUTOEVENTO="Manual",$M53=1),0,IF(OFFSET(CRONOPLE!$F$14,$M53,AS$13)="",10^12,OFFSET(CRONOPLE!$F$14,$M53,AS$13))))</f>
        <v>2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25.5" x14ac:dyDescent="0.2">
      <c r="A54" s="9" t="str">
        <f t="shared" ca="1" si="8"/>
        <v>36</v>
      </c>
      <c r="B54" s="9" t="str">
        <f ca="1">OFFSET(ORÇAMENTO!C$15,ROW(B54)-ROW(B$15),0)</f>
        <v>S</v>
      </c>
      <c r="C54" s="9" t="str">
        <f ca="1">OFFSET(ORÇAMENTO!L$15,ROW(C54)-ROW(C$15),0)</f>
        <v>F</v>
      </c>
      <c r="D54" s="146" t="str">
        <f ca="1">OFFSET(ORÇAMENTO!N$15,ROW(D54)-ROW(D$15),0)</f>
        <v>Serviço</v>
      </c>
      <c r="E54" s="206" t="str">
        <f ca="1">OFFSET(ORÇAMENTO!O$15,ROW(E54)-ROW(E$15),0)</f>
        <v>1.5.3.</v>
      </c>
      <c r="F54" s="207" t="str">
        <f ca="1">OFFSET(ORÇAMENTO!R$15,ROW(F54)-ROW(F$15),0)</f>
        <v>ENSAIO DE PERCENTAGEM DE BETUME - MISTURAS BETUMINOSAS</v>
      </c>
      <c r="G54" s="208" t="str">
        <f ca="1">IF($D54&lt;&gt;"Serviço","",OFFSET(ORÇAMENTO!S$15,ROW(G54)-ROW(G$15),0))</f>
        <v xml:space="preserve">UN 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15</v>
      </c>
      <c r="I54" s="612" t="s">
        <v>450</v>
      </c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6</v>
      </c>
      <c r="N54" s="212" t="str">
        <f ca="1">IF($D54&lt;&gt;"Serviço","",IF(AUTOEVENTO="Manual",IF($A54=0,"&lt;-- defina o número do agrupador",OFFSET(EVENTOS!$D$14,$A54,0)),OFFSET($F$15,$A54,0)))</f>
        <v>ENSAIOS TECNOLÓGICOS</v>
      </c>
      <c r="O54" s="213"/>
      <c r="Q54" s="213">
        <f>Q53</f>
        <v>2</v>
      </c>
      <c r="R54" s="214">
        <f>R53</f>
        <v>2</v>
      </c>
      <c r="S54" s="214">
        <f>S53</f>
        <v>2</v>
      </c>
      <c r="T54" s="214">
        <v>1</v>
      </c>
      <c r="U54" s="214">
        <v>3</v>
      </c>
      <c r="V54" s="214">
        <v>2</v>
      </c>
      <c r="W54" s="214">
        <v>3</v>
      </c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317.55999999999995</v>
      </c>
      <c r="AC54" s="594">
        <f ca="1">IF(AND($D54="Serviço",AC$12&lt;&gt;0,$H54&gt;0,OR(AUTOEVENTO&lt;&gt;"manual",$M54&lt;&gt;1)),ROUND(OFFSET($P54,0,AC$13),15-13*ORÇAMENTO!$AF$7)/$H54*OFFSET(ORÇAMENTO!$X$15,ROW(AC54)-ROW(AC$15),0),0)</f>
        <v>317.55999999999995</v>
      </c>
      <c r="AD54" s="594">
        <f ca="1">IF(AND($D54="Serviço",AD$12&lt;&gt;0,$H54&gt;0,OR(AUTOEVENTO&lt;&gt;"manual",$M54&lt;&gt;1)),ROUND(OFFSET($P54,0,AD$13),15-13*ORÇAMENTO!$AF$7)/$H54*OFFSET(ORÇAMENTO!$X$15,ROW(AD54)-ROW(AD$15),0),0)</f>
        <v>317.55999999999995</v>
      </c>
      <c r="AE54" s="594">
        <f ca="1">IF(AND($D54="Serviço",AE$12&lt;&gt;0,$H54&gt;0,OR(AUTOEVENTO&lt;&gt;"manual",$M54&lt;&gt;1)),ROUND(OFFSET($P54,0,AE$13),15-13*ORÇAMENTO!$AF$7)/$H54*OFFSET(ORÇAMENTO!$X$15,ROW(AE54)-ROW(AE$15),0),0)</f>
        <v>158.77999999999997</v>
      </c>
      <c r="AF54" s="594">
        <f ca="1">IF(AND($D54="Serviço",AF$12&lt;&gt;0,$H54&gt;0,OR(AUTOEVENTO&lt;&gt;"manual",$M54&lt;&gt;1)),ROUND(OFFSET($P54,0,AF$13),15-13*ORÇAMENTO!$AF$7)/$H54*OFFSET(ORÇAMENTO!$X$15,ROW(AF54)-ROW(AF$15),0),0)</f>
        <v>476.34</v>
      </c>
      <c r="AG54" s="594">
        <f ca="1">IF(AND($D54="Serviço",AG$12&lt;&gt;0,$H54&gt;0,OR(AUTOEVENTO&lt;&gt;"manual",$M54&lt;&gt;1)),ROUND(OFFSET($P54,0,AG$13),15-13*ORÇAMENTO!$AF$7)/$H54*OFFSET(ORÇAMENTO!$X$15,ROW(AG54)-ROW(AG$15),0),0)</f>
        <v>317.55999999999995</v>
      </c>
      <c r="AH54" s="594">
        <f ca="1">IF(AND($D54="Serviço",AH$12&lt;&gt;0,$H54&gt;0,OR(AUTOEVENTO&lt;&gt;"manual",$M54&lt;&gt;1)),ROUND(OFFSET($P54,0,AH$13),15-13*ORÇAMENTO!$AF$7)/$H54*OFFSET(ORÇAMENTO!$X$15,ROW(AH54)-ROW(AH$15),0),0)</f>
        <v>476.34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</v>
      </c>
      <c r="AN54" s="216">
        <f ca="1">IF($D54&lt;&gt;"Serviço",0,IF(AND(AUTOEVENTO="Manual",$M54=1),0,IF(OFFSET(CRONOPLE!$F$14,$M54,AN$13)="",10^12,OFFSET(CRONOPLE!$F$14,$M54,AN$13))))</f>
        <v>1</v>
      </c>
      <c r="AO54" s="216">
        <f ca="1">IF($D54&lt;&gt;"Serviço",0,IF(AND(AUTOEVENTO="Manual",$M54=1),0,IF(OFFSET(CRONOPLE!$F$14,$M54,AO$13)="",10^12,OFFSET(CRONOPLE!$F$14,$M54,AO$13))))</f>
        <v>1</v>
      </c>
      <c r="AP54" s="216">
        <f ca="1">IF($D54&lt;&gt;"Serviço",0,IF(AND(AUTOEVENTO="Manual",$M54=1),0,IF(OFFSET(CRONOPLE!$F$14,$M54,AP$13)="",10^12,OFFSET(CRONOPLE!$F$14,$M54,AP$13))))</f>
        <v>1</v>
      </c>
      <c r="AQ54" s="216">
        <f ca="1">IF($D54&lt;&gt;"Serviço",0,IF(AND(AUTOEVENTO="Manual",$M54=1),0,IF(OFFSET(CRONOPLE!$F$14,$M54,AQ$13)="",10^12,OFFSET(CRONOPLE!$F$14,$M54,AQ$13))))</f>
        <v>2</v>
      </c>
      <c r="AR54" s="216">
        <f ca="1">IF($D54&lt;&gt;"Serviço",0,IF(AND(AUTOEVENTO="Manual",$M54=1),0,IF(OFFSET(CRONOPLE!$F$14,$M54,AR$13)="",10^12,OFFSET(CRONOPLE!$F$14,$M54,AR$13))))</f>
        <v>2</v>
      </c>
      <c r="AS54" s="216">
        <f ca="1">IF($D54&lt;&gt;"Serviço",0,IF(AND(AUTOEVENTO="Manual",$M54=1),0,IF(OFFSET(CRONOPLE!$F$14,$M54,AS$13)="",10^12,OFFSET(CRONOPLE!$F$14,$M54,AS$13))))</f>
        <v>2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25.5" x14ac:dyDescent="0.2">
      <c r="A55" s="9" t="str">
        <f t="shared" ca="1" si="8"/>
        <v>36</v>
      </c>
      <c r="B55" s="9" t="str">
        <f ca="1">OFFSET(ORÇAMENTO!C$15,ROW(B55)-ROW(B$15),0)</f>
        <v>S</v>
      </c>
      <c r="C55" s="9" t="str">
        <f ca="1">OFFSET(ORÇAMENTO!L$15,ROW(C55)-ROW(C$15),0)</f>
        <v>F</v>
      </c>
      <c r="D55" s="146" t="str">
        <f ca="1">OFFSET(ORÇAMENTO!N$15,ROW(D55)-ROW(D$15),0)</f>
        <v>Serviço</v>
      </c>
      <c r="E55" s="206" t="str">
        <f ca="1">OFFSET(ORÇAMENTO!O$15,ROW(E55)-ROW(E$15),0)</f>
        <v>1.5.4.</v>
      </c>
      <c r="F55" s="207" t="str">
        <f ca="1">OFFSET(ORÇAMENTO!R$15,ROW(F55)-ROW(F$15),0)</f>
        <v>ENSAIO DE CONTROLE DO GRAU DE COMPACTAÇÃO DA MISTURA ASFÁLTICA</v>
      </c>
      <c r="G55" s="208" t="str">
        <f ca="1">IF($D55&lt;&gt;"Serviço","",OFFSET(ORÇAMENTO!S$15,ROW(G55)-ROW(G$15),0))</f>
        <v xml:space="preserve">UN 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15</v>
      </c>
      <c r="I55" s="612" t="s">
        <v>450</v>
      </c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6</v>
      </c>
      <c r="N55" s="212" t="str">
        <f ca="1">IF($D55&lt;&gt;"Serviço","",IF(AUTOEVENTO="Manual",IF($A55=0,"&lt;-- defina o número do agrupador",OFFSET(EVENTOS!$D$14,$A55,0)),OFFSET($F$15,$A55,0)))</f>
        <v>ENSAIOS TECNOLÓGICOS</v>
      </c>
      <c r="O55" s="213"/>
      <c r="Q55" s="213">
        <f>Q53</f>
        <v>2</v>
      </c>
      <c r="R55" s="214">
        <f t="shared" ref="R55:S56" si="16">R54</f>
        <v>2</v>
      </c>
      <c r="S55" s="214">
        <f t="shared" si="16"/>
        <v>2</v>
      </c>
      <c r="T55" s="214">
        <v>1</v>
      </c>
      <c r="U55" s="214">
        <v>3</v>
      </c>
      <c r="V55" s="214">
        <v>2</v>
      </c>
      <c r="W55" s="214">
        <v>3</v>
      </c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236.98</v>
      </c>
      <c r="AC55" s="594">
        <f ca="1">IF(AND($D55="Serviço",AC$12&lt;&gt;0,$H55&gt;0,OR(AUTOEVENTO&lt;&gt;"manual",$M55&lt;&gt;1)),ROUND(OFFSET($P55,0,AC$13),15-13*ORÇAMENTO!$AF$7)/$H55*OFFSET(ORÇAMENTO!$X$15,ROW(AC55)-ROW(AC$15),0),0)</f>
        <v>236.98</v>
      </c>
      <c r="AD55" s="594">
        <f ca="1">IF(AND($D55="Serviço",AD$12&lt;&gt;0,$H55&gt;0,OR(AUTOEVENTO&lt;&gt;"manual",$M55&lt;&gt;1)),ROUND(OFFSET($P55,0,AD$13),15-13*ORÇAMENTO!$AF$7)/$H55*OFFSET(ORÇAMENTO!$X$15,ROW(AD55)-ROW(AD$15),0),0)</f>
        <v>236.98</v>
      </c>
      <c r="AE55" s="594">
        <f ca="1">IF(AND($D55="Serviço",AE$12&lt;&gt;0,$H55&gt;0,OR(AUTOEVENTO&lt;&gt;"manual",$M55&lt;&gt;1)),ROUND(OFFSET($P55,0,AE$13),15-13*ORÇAMENTO!$AF$7)/$H55*OFFSET(ORÇAMENTO!$X$15,ROW(AE55)-ROW(AE$15),0),0)</f>
        <v>118.49</v>
      </c>
      <c r="AF55" s="594">
        <f ca="1">IF(AND($D55="Serviço",AF$12&lt;&gt;0,$H55&gt;0,OR(AUTOEVENTO&lt;&gt;"manual",$M55&lt;&gt;1)),ROUND(OFFSET($P55,0,AF$13),15-13*ORÇAMENTO!$AF$7)/$H55*OFFSET(ORÇAMENTO!$X$15,ROW(AF55)-ROW(AF$15),0),0)</f>
        <v>355.47</v>
      </c>
      <c r="AG55" s="594">
        <f ca="1">IF(AND($D55="Serviço",AG$12&lt;&gt;0,$H55&gt;0,OR(AUTOEVENTO&lt;&gt;"manual",$M55&lt;&gt;1)),ROUND(OFFSET($P55,0,AG$13),15-13*ORÇAMENTO!$AF$7)/$H55*OFFSET(ORÇAMENTO!$X$15,ROW(AG55)-ROW(AG$15),0),0)</f>
        <v>236.98</v>
      </c>
      <c r="AH55" s="594">
        <f ca="1">IF(AND($D55="Serviço",AH$12&lt;&gt;0,$H55&gt;0,OR(AUTOEVENTO&lt;&gt;"manual",$M55&lt;&gt;1)),ROUND(OFFSET($P55,0,AH$13),15-13*ORÇAMENTO!$AF$7)/$H55*OFFSET(ORÇAMENTO!$X$15,ROW(AH55)-ROW(AH$15),0),0)</f>
        <v>355.47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</v>
      </c>
      <c r="AN55" s="216">
        <f ca="1">IF($D55&lt;&gt;"Serviço",0,IF(AND(AUTOEVENTO="Manual",$M55=1),0,IF(OFFSET(CRONOPLE!$F$14,$M55,AN$13)="",10^12,OFFSET(CRONOPLE!$F$14,$M55,AN$13))))</f>
        <v>1</v>
      </c>
      <c r="AO55" s="216">
        <f ca="1">IF($D55&lt;&gt;"Serviço",0,IF(AND(AUTOEVENTO="Manual",$M55=1),0,IF(OFFSET(CRONOPLE!$F$14,$M55,AO$13)="",10^12,OFFSET(CRONOPLE!$F$14,$M55,AO$13))))</f>
        <v>1</v>
      </c>
      <c r="AP55" s="216">
        <f ca="1">IF($D55&lt;&gt;"Serviço",0,IF(AND(AUTOEVENTO="Manual",$M55=1),0,IF(OFFSET(CRONOPLE!$F$14,$M55,AP$13)="",10^12,OFFSET(CRONOPLE!$F$14,$M55,AP$13))))</f>
        <v>1</v>
      </c>
      <c r="AQ55" s="216">
        <f ca="1">IF($D55&lt;&gt;"Serviço",0,IF(AND(AUTOEVENTO="Manual",$M55=1),0,IF(OFFSET(CRONOPLE!$F$14,$M55,AQ$13)="",10^12,OFFSET(CRONOPLE!$F$14,$M55,AQ$13))))</f>
        <v>2</v>
      </c>
      <c r="AR55" s="216">
        <f ca="1">IF($D55&lt;&gt;"Serviço",0,IF(AND(AUTOEVENTO="Manual",$M55=1),0,IF(OFFSET(CRONOPLE!$F$14,$M55,AR$13)="",10^12,OFFSET(CRONOPLE!$F$14,$M55,AR$13))))</f>
        <v>2</v>
      </c>
      <c r="AS55" s="216">
        <f ca="1">IF($D55&lt;&gt;"Serviço",0,IF(AND(AUTOEVENTO="Manual",$M55=1),0,IF(OFFSET(CRONOPLE!$F$14,$M55,AS$13)="",10^12,OFFSET(CRONOPLE!$F$14,$M55,AS$13))))</f>
        <v>2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25.5" x14ac:dyDescent="0.2">
      <c r="A56" s="9" t="str">
        <f t="shared" ca="1" si="8"/>
        <v>36</v>
      </c>
      <c r="B56" s="9" t="str">
        <f ca="1">OFFSET(ORÇAMENTO!C$15,ROW(B56)-ROW(B$15),0)</f>
        <v>S</v>
      </c>
      <c r="C56" s="9" t="str">
        <f ca="1">OFFSET(ORÇAMENTO!L$15,ROW(C56)-ROW(C$15),0)</f>
        <v>F</v>
      </c>
      <c r="D56" s="146" t="str">
        <f ca="1">OFFSET(ORÇAMENTO!N$15,ROW(D56)-ROW(D$15),0)</f>
        <v>Serviço</v>
      </c>
      <c r="E56" s="206" t="str">
        <f ca="1">OFFSET(ORÇAMENTO!O$15,ROW(E56)-ROW(E$15),0)</f>
        <v>1.5.5.</v>
      </c>
      <c r="F56" s="207" t="str">
        <f ca="1">OFFSET(ORÇAMENTO!R$15,ROW(F56)-ROW(F$15),0)</f>
        <v>ENSAIO DE DENSIDADE DO MATERIAL BETUMINOSO</v>
      </c>
      <c r="G56" s="208" t="str">
        <f ca="1">IF($D56&lt;&gt;"Serviço","",OFFSET(ORÇAMENTO!S$15,ROW(G56)-ROW(G$15),0))</f>
        <v xml:space="preserve">UN 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15</v>
      </c>
      <c r="I56" s="612" t="s">
        <v>450</v>
      </c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6</v>
      </c>
      <c r="N56" s="212" t="str">
        <f ca="1">IF($D56&lt;&gt;"Serviço","",IF(AUTOEVENTO="Manual",IF($A56=0,"&lt;-- defina o número do agrupador",OFFSET(EVENTOS!$D$14,$A56,0)),OFFSET($F$15,$A56,0)))</f>
        <v>ENSAIOS TECNOLÓGICOS</v>
      </c>
      <c r="O56" s="213"/>
      <c r="Q56" s="213">
        <f>Q53</f>
        <v>2</v>
      </c>
      <c r="R56" s="214">
        <f t="shared" si="16"/>
        <v>2</v>
      </c>
      <c r="S56" s="214">
        <f t="shared" si="16"/>
        <v>2</v>
      </c>
      <c r="T56" s="214">
        <v>1</v>
      </c>
      <c r="U56" s="214">
        <v>3</v>
      </c>
      <c r="V56" s="214">
        <v>2</v>
      </c>
      <c r="W56" s="214">
        <v>3</v>
      </c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192</v>
      </c>
      <c r="AC56" s="594">
        <f ca="1">IF(AND($D56="Serviço",AC$12&lt;&gt;0,$H56&gt;0,OR(AUTOEVENTO&lt;&gt;"manual",$M56&lt;&gt;1)),ROUND(OFFSET($P56,0,AC$13),15-13*ORÇAMENTO!$AF$7)/$H56*OFFSET(ORÇAMENTO!$X$15,ROW(AC56)-ROW(AC$15),0),0)</f>
        <v>192</v>
      </c>
      <c r="AD56" s="594">
        <f ca="1">IF(AND($D56="Serviço",AD$12&lt;&gt;0,$H56&gt;0,OR(AUTOEVENTO&lt;&gt;"manual",$M56&lt;&gt;1)),ROUND(OFFSET($P56,0,AD$13),15-13*ORÇAMENTO!$AF$7)/$H56*OFFSET(ORÇAMENTO!$X$15,ROW(AD56)-ROW(AD$15),0),0)</f>
        <v>192</v>
      </c>
      <c r="AE56" s="594">
        <f ca="1">IF(AND($D56="Serviço",AE$12&lt;&gt;0,$H56&gt;0,OR(AUTOEVENTO&lt;&gt;"manual",$M56&lt;&gt;1)),ROUND(OFFSET($P56,0,AE$13),15-13*ORÇAMENTO!$AF$7)/$H56*OFFSET(ORÇAMENTO!$X$15,ROW(AE56)-ROW(AE$15),0),0)</f>
        <v>96</v>
      </c>
      <c r="AF56" s="594">
        <f ca="1">IF(AND($D56="Serviço",AF$12&lt;&gt;0,$H56&gt;0,OR(AUTOEVENTO&lt;&gt;"manual",$M56&lt;&gt;1)),ROUND(OFFSET($P56,0,AF$13),15-13*ORÇAMENTO!$AF$7)/$H56*OFFSET(ORÇAMENTO!$X$15,ROW(AF56)-ROW(AF$15),0),0)</f>
        <v>288</v>
      </c>
      <c r="AG56" s="594">
        <f ca="1">IF(AND($D56="Serviço",AG$12&lt;&gt;0,$H56&gt;0,OR(AUTOEVENTO&lt;&gt;"manual",$M56&lt;&gt;1)),ROUND(OFFSET($P56,0,AG$13),15-13*ORÇAMENTO!$AF$7)/$H56*OFFSET(ORÇAMENTO!$X$15,ROW(AG56)-ROW(AG$15),0),0)</f>
        <v>192</v>
      </c>
      <c r="AH56" s="594">
        <f ca="1">IF(AND($D56="Serviço",AH$12&lt;&gt;0,$H56&gt;0,OR(AUTOEVENTO&lt;&gt;"manual",$M56&lt;&gt;1)),ROUND(OFFSET($P56,0,AH$13),15-13*ORÇAMENTO!$AF$7)/$H56*OFFSET(ORÇAMENTO!$X$15,ROW(AH56)-ROW(AH$15),0),0)</f>
        <v>288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</v>
      </c>
      <c r="AN56" s="216">
        <f ca="1">IF($D56&lt;&gt;"Serviço",0,IF(AND(AUTOEVENTO="Manual",$M56=1),0,IF(OFFSET(CRONOPLE!$F$14,$M56,AN$13)="",10^12,OFFSET(CRONOPLE!$F$14,$M56,AN$13))))</f>
        <v>1</v>
      </c>
      <c r="AO56" s="216">
        <f ca="1">IF($D56&lt;&gt;"Serviço",0,IF(AND(AUTOEVENTO="Manual",$M56=1),0,IF(OFFSET(CRONOPLE!$F$14,$M56,AO$13)="",10^12,OFFSET(CRONOPLE!$F$14,$M56,AO$13))))</f>
        <v>1</v>
      </c>
      <c r="AP56" s="216">
        <f ca="1">IF($D56&lt;&gt;"Serviço",0,IF(AND(AUTOEVENTO="Manual",$M56=1),0,IF(OFFSET(CRONOPLE!$F$14,$M56,AP$13)="",10^12,OFFSET(CRONOPLE!$F$14,$M56,AP$13))))</f>
        <v>1</v>
      </c>
      <c r="AQ56" s="216">
        <f ca="1">IF($D56&lt;&gt;"Serviço",0,IF(AND(AUTOEVENTO="Manual",$M56=1),0,IF(OFFSET(CRONOPLE!$F$14,$M56,AQ$13)="",10^12,OFFSET(CRONOPLE!$F$14,$M56,AQ$13))))</f>
        <v>2</v>
      </c>
      <c r="AR56" s="216">
        <f ca="1">IF($D56&lt;&gt;"Serviço",0,IF(AND(AUTOEVENTO="Manual",$M56=1),0,IF(OFFSET(CRONOPLE!$F$14,$M56,AR$13)="",10^12,OFFSET(CRONOPLE!$F$14,$M56,AR$13))))</f>
        <v>2</v>
      </c>
      <c r="AS56" s="216">
        <f ca="1">IF($D56&lt;&gt;"Serviço",0,IF(AND(AUTOEVENTO="Manual",$M56=1),0,IF(OFFSET(CRONOPLE!$F$14,$M56,AS$13)="",10^12,OFFSET(CRONOPLE!$F$14,$M56,AS$13))))</f>
        <v>2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hidden="1" x14ac:dyDescent="0.2">
      <c r="A57" s="9" t="str">
        <f t="shared" ca="1" si="8"/>
        <v>36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6</v>
      </c>
      <c r="N57" s="212" t="str">
        <f ca="1">IF($D57&lt;&gt;"Serviço","",IF(AUTOEVENTO="Manual",IF($A57=0,"&lt;-- defina o número do agrupador",OFFSET(EVENTOS!$D$14,$A57,0)),OFFSET($F$15,$A57,0)))</f>
        <v>ENSAIOS TECNOLÓGICOS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</v>
      </c>
      <c r="AN57" s="216">
        <f ca="1">IF($D57&lt;&gt;"Serviço",0,IF(AND(AUTOEVENTO="Manual",$M57=1),0,IF(OFFSET(CRONOPLE!$F$14,$M57,AN$13)="",10^12,OFFSET(CRONOPLE!$F$14,$M57,AN$13))))</f>
        <v>1</v>
      </c>
      <c r="AO57" s="216">
        <f ca="1">IF($D57&lt;&gt;"Serviço",0,IF(AND(AUTOEVENTO="Manual",$M57=1),0,IF(OFFSET(CRONOPLE!$F$14,$M57,AO$13)="",10^12,OFFSET(CRONOPLE!$F$14,$M57,AO$13))))</f>
        <v>1</v>
      </c>
      <c r="AP57" s="216">
        <f ca="1">IF($D57&lt;&gt;"Serviço",0,IF(AND(AUTOEVENTO="Manual",$M57=1),0,IF(OFFSET(CRONOPLE!$F$14,$M57,AP$13)="",10^12,OFFSET(CRONOPLE!$F$14,$M57,AP$13))))</f>
        <v>1</v>
      </c>
      <c r="AQ57" s="216">
        <f ca="1">IF($D57&lt;&gt;"Serviço",0,IF(AND(AUTOEVENTO="Manual",$M57=1),0,IF(OFFSET(CRONOPLE!$F$14,$M57,AQ$13)="",10^12,OFFSET(CRONOPLE!$F$14,$M57,AQ$13))))</f>
        <v>2</v>
      </c>
      <c r="AR57" s="216">
        <f ca="1">IF($D57&lt;&gt;"Serviço",0,IF(AND(AUTOEVENTO="Manual",$M57=1),0,IF(OFFSET(CRONOPLE!$F$14,$M57,AR$13)="",10^12,OFFSET(CRONOPLE!$F$14,$M57,AR$13))))</f>
        <v>2</v>
      </c>
      <c r="AS57" s="216">
        <f ca="1">IF($D57&lt;&gt;"Serviço",0,IF(AND(AUTOEVENTO="Manual",$M57=1),0,IF(OFFSET(CRONOPLE!$F$14,$M57,AS$13)="",10^12,OFFSET(CRONOPLE!$F$14,$M57,AS$13))))</f>
        <v>2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hidden="1" x14ac:dyDescent="0.2">
      <c r="A58" s="9" t="str">
        <f t="shared" ca="1" si="8"/>
        <v>36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(Sem Código)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6</v>
      </c>
      <c r="N58" s="212" t="str">
        <f ca="1">IF($D58&lt;&gt;"Serviço","",IF(AUTOEVENTO="Manual",IF($A58=0,"&lt;-- defina o número do agrupador",OFFSET(EVENTOS!$D$14,$A58,0)),OFFSET($F$15,$A58,0)))</f>
        <v>ENSAIOS TECNOLÓGICOS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</v>
      </c>
      <c r="AN58" s="216">
        <f ca="1">IF($D58&lt;&gt;"Serviço",0,IF(AND(AUTOEVENTO="Manual",$M58=1),0,IF(OFFSET(CRONOPLE!$F$14,$M58,AN$13)="",10^12,OFFSET(CRONOPLE!$F$14,$M58,AN$13))))</f>
        <v>1</v>
      </c>
      <c r="AO58" s="216">
        <f ca="1">IF($D58&lt;&gt;"Serviço",0,IF(AND(AUTOEVENTO="Manual",$M58=1),0,IF(OFFSET(CRONOPLE!$F$14,$M58,AO$13)="",10^12,OFFSET(CRONOPLE!$F$14,$M58,AO$13))))</f>
        <v>1</v>
      </c>
      <c r="AP58" s="216">
        <f ca="1">IF($D58&lt;&gt;"Serviço",0,IF(AND(AUTOEVENTO="Manual",$M58=1),0,IF(OFFSET(CRONOPLE!$F$14,$M58,AP$13)="",10^12,OFFSET(CRONOPLE!$F$14,$M58,AP$13))))</f>
        <v>1</v>
      </c>
      <c r="AQ58" s="216">
        <f ca="1">IF($D58&lt;&gt;"Serviço",0,IF(AND(AUTOEVENTO="Manual",$M58=1),0,IF(OFFSET(CRONOPLE!$F$14,$M58,AQ$13)="",10^12,OFFSET(CRONOPLE!$F$14,$M58,AQ$13))))</f>
        <v>2</v>
      </c>
      <c r="AR58" s="216">
        <f ca="1">IF($D58&lt;&gt;"Serviço",0,IF(AND(AUTOEVENTO="Manual",$M58=1),0,IF(OFFSET(CRONOPLE!$F$14,$M58,AR$13)="",10^12,OFFSET(CRONOPLE!$F$14,$M58,AR$13))))</f>
        <v>2</v>
      </c>
      <c r="AS58" s="216">
        <f ca="1">IF($D58&lt;&gt;"Serviço",0,IF(AND(AUTOEVENTO="Manual",$M58=1),0,IF(OFFSET(CRONOPLE!$F$14,$M58,AS$13)="",10^12,OFFSET(CRONOPLE!$F$14,$M58,AS$13))))</f>
        <v>2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hidden="1" x14ac:dyDescent="0.2">
      <c r="A59" s="9" t="str">
        <f t="shared" ca="1" si="8"/>
        <v>36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(Sem Código)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6</v>
      </c>
      <c r="N59" s="212" t="str">
        <f ca="1">IF($D59&lt;&gt;"Serviço","",IF(AUTOEVENTO="Manual",IF($A59=0,"&lt;-- defina o número do agrupador",OFFSET(EVENTOS!$D$14,$A59,0)),OFFSET($F$15,$A59,0)))</f>
        <v>ENSAIOS TECNOLÓGICOS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</v>
      </c>
      <c r="AN59" s="216">
        <f ca="1">IF($D59&lt;&gt;"Serviço",0,IF(AND(AUTOEVENTO="Manual",$M59=1),0,IF(OFFSET(CRONOPLE!$F$14,$M59,AN$13)="",10^12,OFFSET(CRONOPLE!$F$14,$M59,AN$13))))</f>
        <v>1</v>
      </c>
      <c r="AO59" s="216">
        <f ca="1">IF($D59&lt;&gt;"Serviço",0,IF(AND(AUTOEVENTO="Manual",$M59=1),0,IF(OFFSET(CRONOPLE!$F$14,$M59,AO$13)="",10^12,OFFSET(CRONOPLE!$F$14,$M59,AO$13))))</f>
        <v>1</v>
      </c>
      <c r="AP59" s="216">
        <f ca="1">IF($D59&lt;&gt;"Serviço",0,IF(AND(AUTOEVENTO="Manual",$M59=1),0,IF(OFFSET(CRONOPLE!$F$14,$M59,AP$13)="",10^12,OFFSET(CRONOPLE!$F$14,$M59,AP$13))))</f>
        <v>1</v>
      </c>
      <c r="AQ59" s="216">
        <f ca="1">IF($D59&lt;&gt;"Serviço",0,IF(AND(AUTOEVENTO="Manual",$M59=1),0,IF(OFFSET(CRONOPLE!$F$14,$M59,AQ$13)="",10^12,OFFSET(CRONOPLE!$F$14,$M59,AQ$13))))</f>
        <v>2</v>
      </c>
      <c r="AR59" s="216">
        <f ca="1">IF($D59&lt;&gt;"Serviço",0,IF(AND(AUTOEVENTO="Manual",$M59=1),0,IF(OFFSET(CRONOPLE!$F$14,$M59,AR$13)="",10^12,OFFSET(CRONOPLE!$F$14,$M59,AR$13))))</f>
        <v>2</v>
      </c>
      <c r="AS59" s="216">
        <f ca="1">IF($D59&lt;&gt;"Serviço",0,IF(AND(AUTOEVENTO="Manual",$M59=1),0,IF(OFFSET(CRONOPLE!$F$14,$M59,AS$13)="",10^12,OFFSET(CRONOPLE!$F$14,$M59,AS$13))))</f>
        <v>2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hidden="1" x14ac:dyDescent="0.2">
      <c r="A60" s="9" t="str">
        <f t="shared" ca="1" si="8"/>
        <v>36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12" t="str">
        <f ca="1">IF($D60&lt;&gt;"Serviço","",IF(AUTOEVENTO="Manual",IF($A60=0,"&lt;-- defina o número do agrupador",OFFSET(EVENTOS!$D$14,$A60,0)),OFFSET($F$15,$A60,0)))</f>
        <v>ENSAIOS TECNOLÓGICOS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</v>
      </c>
      <c r="AN60" s="216">
        <f ca="1">IF($D60&lt;&gt;"Serviço",0,IF(AND(AUTOEVENTO="Manual",$M60=1),0,IF(OFFSET(CRONOPLE!$F$14,$M60,AN$13)="",10^12,OFFSET(CRONOPLE!$F$14,$M60,AN$13))))</f>
        <v>1</v>
      </c>
      <c r="AO60" s="216">
        <f ca="1">IF($D60&lt;&gt;"Serviço",0,IF(AND(AUTOEVENTO="Manual",$M60=1),0,IF(OFFSET(CRONOPLE!$F$14,$M60,AO$13)="",10^12,OFFSET(CRONOPLE!$F$14,$M60,AO$13))))</f>
        <v>1</v>
      </c>
      <c r="AP60" s="216">
        <f ca="1">IF($D60&lt;&gt;"Serviço",0,IF(AND(AUTOEVENTO="Manual",$M60=1),0,IF(OFFSET(CRONOPLE!$F$14,$M60,AP$13)="",10^12,OFFSET(CRONOPLE!$F$14,$M60,AP$13))))</f>
        <v>1</v>
      </c>
      <c r="AQ60" s="216">
        <f ca="1">IF($D60&lt;&gt;"Serviço",0,IF(AND(AUTOEVENTO="Manual",$M60=1),0,IF(OFFSET(CRONOPLE!$F$14,$M60,AQ$13)="",10^12,OFFSET(CRONOPLE!$F$14,$M60,AQ$13))))</f>
        <v>2</v>
      </c>
      <c r="AR60" s="216">
        <f ca="1">IF($D60&lt;&gt;"Serviço",0,IF(AND(AUTOEVENTO="Manual",$M60=1),0,IF(OFFSET(CRONOPLE!$F$14,$M60,AR$13)="",10^12,OFFSET(CRONOPLE!$F$14,$M60,AR$13))))</f>
        <v>2</v>
      </c>
      <c r="AS60" s="216">
        <f ca="1">IF($D60&lt;&gt;"Serviço",0,IF(AND(AUTOEVENTO="Manual",$M60=1),0,IF(OFFSET(CRONOPLE!$F$14,$M60,AS$13)="",10^12,OFFSET(CRONOPLE!$F$14,$M60,AS$13))))</f>
        <v>2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hidden="1" x14ac:dyDescent="0.2">
      <c r="A61" s="9" t="str">
        <f t="shared" ca="1" si="8"/>
        <v>36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(Sem Código)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12" t="str">
        <f ca="1">IF($D61&lt;&gt;"Serviço","",IF(AUTOEVENTO="Manual",IF($A61=0,"&lt;-- defina o número do agrupador",OFFSET(EVENTOS!$D$14,$A61,0)),OFFSET($F$15,$A61,0)))</f>
        <v>ENSAIOS TECNOLÓGICOS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</v>
      </c>
      <c r="AN61" s="216">
        <f ca="1">IF($D61&lt;&gt;"Serviço",0,IF(AND(AUTOEVENTO="Manual",$M61=1),0,IF(OFFSET(CRONOPLE!$F$14,$M61,AN$13)="",10^12,OFFSET(CRONOPLE!$F$14,$M61,AN$13))))</f>
        <v>1</v>
      </c>
      <c r="AO61" s="216">
        <f ca="1">IF($D61&lt;&gt;"Serviço",0,IF(AND(AUTOEVENTO="Manual",$M61=1),0,IF(OFFSET(CRONOPLE!$F$14,$M61,AO$13)="",10^12,OFFSET(CRONOPLE!$F$14,$M61,AO$13))))</f>
        <v>1</v>
      </c>
      <c r="AP61" s="216">
        <f ca="1">IF($D61&lt;&gt;"Serviço",0,IF(AND(AUTOEVENTO="Manual",$M61=1),0,IF(OFFSET(CRONOPLE!$F$14,$M61,AP$13)="",10^12,OFFSET(CRONOPLE!$F$14,$M61,AP$13))))</f>
        <v>1</v>
      </c>
      <c r="AQ61" s="216">
        <f ca="1">IF($D61&lt;&gt;"Serviço",0,IF(AND(AUTOEVENTO="Manual",$M61=1),0,IF(OFFSET(CRONOPLE!$F$14,$M61,AQ$13)="",10^12,OFFSET(CRONOPLE!$F$14,$M61,AQ$13))))</f>
        <v>2</v>
      </c>
      <c r="AR61" s="216">
        <f ca="1">IF($D61&lt;&gt;"Serviço",0,IF(AND(AUTOEVENTO="Manual",$M61=1),0,IF(OFFSET(CRONOPLE!$F$14,$M61,AR$13)="",10^12,OFFSET(CRONOPLE!$F$14,$M61,AR$13))))</f>
        <v>2</v>
      </c>
      <c r="AS61" s="216">
        <f ca="1">IF($D61&lt;&gt;"Serviço",0,IF(AND(AUTOEVENTO="Manual",$M61=1),0,IF(OFFSET(CRONOPLE!$F$14,$M61,AS$13)="",10^12,OFFSET(CRONOPLE!$F$14,$M61,AS$13))))</f>
        <v>2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hidden="1" x14ac:dyDescent="0.2">
      <c r="A62" s="9" t="str">
        <f t="shared" ca="1" si="8"/>
        <v>36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(Sem Código)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12" t="str">
        <f ca="1">IF($D62&lt;&gt;"Serviço","",IF(AUTOEVENTO="Manual",IF($A62=0,"&lt;-- defina o número do agrupador",OFFSET(EVENTOS!$D$14,$A62,0)),OFFSET($F$15,$A62,0)))</f>
        <v>ENSAIOS TECNOLÓGICOS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</v>
      </c>
      <c r="AN62" s="216">
        <f ca="1">IF($D62&lt;&gt;"Serviço",0,IF(AND(AUTOEVENTO="Manual",$M62=1),0,IF(OFFSET(CRONOPLE!$F$14,$M62,AN$13)="",10^12,OFFSET(CRONOPLE!$F$14,$M62,AN$13))))</f>
        <v>1</v>
      </c>
      <c r="AO62" s="216">
        <f ca="1">IF($D62&lt;&gt;"Serviço",0,IF(AND(AUTOEVENTO="Manual",$M62=1),0,IF(OFFSET(CRONOPLE!$F$14,$M62,AO$13)="",10^12,OFFSET(CRONOPLE!$F$14,$M62,AO$13))))</f>
        <v>1</v>
      </c>
      <c r="AP62" s="216">
        <f ca="1">IF($D62&lt;&gt;"Serviço",0,IF(AND(AUTOEVENTO="Manual",$M62=1),0,IF(OFFSET(CRONOPLE!$F$14,$M62,AP$13)="",10^12,OFFSET(CRONOPLE!$F$14,$M62,AP$13))))</f>
        <v>1</v>
      </c>
      <c r="AQ62" s="216">
        <f ca="1">IF($D62&lt;&gt;"Serviço",0,IF(AND(AUTOEVENTO="Manual",$M62=1),0,IF(OFFSET(CRONOPLE!$F$14,$M62,AQ$13)="",10^12,OFFSET(CRONOPLE!$F$14,$M62,AQ$13))))</f>
        <v>2</v>
      </c>
      <c r="AR62" s="216">
        <f ca="1">IF($D62&lt;&gt;"Serviço",0,IF(AND(AUTOEVENTO="Manual",$M62=1),0,IF(OFFSET(CRONOPLE!$F$14,$M62,AR$13)="",10^12,OFFSET(CRONOPLE!$F$14,$M62,AR$13))))</f>
        <v>2</v>
      </c>
      <c r="AS62" s="216">
        <f ca="1">IF($D62&lt;&gt;"Serviço",0,IF(AND(AUTOEVENTO="Manual",$M62=1),0,IF(OFFSET(CRONOPLE!$F$14,$M62,AS$13)="",10^12,OFFSET(CRONOPLE!$F$14,$M62,AS$13))))</f>
        <v>2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hidden="1" x14ac:dyDescent="0.2">
      <c r="A63" s="9" t="str">
        <f t="shared" ca="1" si="8"/>
        <v>36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LIMPEZA DE BUEIRO</v>
      </c>
      <c r="G63" s="208" t="str">
        <f ca="1">IF($D63&lt;&gt;"Serviço","",OFFSET(ORÇAMENTO!S$15,ROW(G63)-ROW(G$15),0))</f>
        <v xml:space="preserve">UN 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12" t="str">
        <f ca="1">IF($D63&lt;&gt;"Serviço","",IF(AUTOEVENTO="Manual",IF($A63=0,"&lt;-- defina o número do agrupador",OFFSET(EVENTOS!$D$14,$A63,0)),OFFSET($F$15,$A63,0)))</f>
        <v>ENSAIOS TECNOLÓGICOS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</v>
      </c>
      <c r="AN63" s="216">
        <f ca="1">IF($D63&lt;&gt;"Serviço",0,IF(AND(AUTOEVENTO="Manual",$M63=1),0,IF(OFFSET(CRONOPLE!$F$14,$M63,AN$13)="",10^12,OFFSET(CRONOPLE!$F$14,$M63,AN$13))))</f>
        <v>1</v>
      </c>
      <c r="AO63" s="216">
        <f ca="1">IF($D63&lt;&gt;"Serviço",0,IF(AND(AUTOEVENTO="Manual",$M63=1),0,IF(OFFSET(CRONOPLE!$F$14,$M63,AO$13)="",10^12,OFFSET(CRONOPLE!$F$14,$M63,AO$13))))</f>
        <v>1</v>
      </c>
      <c r="AP63" s="216">
        <f ca="1">IF($D63&lt;&gt;"Serviço",0,IF(AND(AUTOEVENTO="Manual",$M63=1),0,IF(OFFSET(CRONOPLE!$F$14,$M63,AP$13)="",10^12,OFFSET(CRONOPLE!$F$14,$M63,AP$13))))</f>
        <v>1</v>
      </c>
      <c r="AQ63" s="216">
        <f ca="1">IF($D63&lt;&gt;"Serviço",0,IF(AND(AUTOEVENTO="Manual",$M63=1),0,IF(OFFSET(CRONOPLE!$F$14,$M63,AQ$13)="",10^12,OFFSET(CRONOPLE!$F$14,$M63,AQ$13))))</f>
        <v>2</v>
      </c>
      <c r="AR63" s="216">
        <f ca="1">IF($D63&lt;&gt;"Serviço",0,IF(AND(AUTOEVENTO="Manual",$M63=1),0,IF(OFFSET(CRONOPLE!$F$14,$M63,AR$13)="",10^12,OFFSET(CRONOPLE!$F$14,$M63,AR$13))))</f>
        <v>2</v>
      </c>
      <c r="AS63" s="216">
        <f ca="1">IF($D63&lt;&gt;"Serviço",0,IF(AND(AUTOEVENTO="Manual",$M63=1),0,IF(OFFSET(CRONOPLE!$F$14,$M63,AS$13)="",10^12,OFFSET(CRONOPLE!$F$14,$M63,AS$13))))</f>
        <v>2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hidden="1" x14ac:dyDescent="0.2">
      <c r="A64" s="9" t="str">
        <f t="shared" ca="1" si="8"/>
        <v>36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ESCAVAÇÃO DE BUEIRO EM 1ª CATEGORIA</v>
      </c>
      <c r="G64" s="208" t="str">
        <f ca="1">IF($D64&lt;&gt;"Serviço","",OFFSET(ORÇAMENTO!S$15,ROW(G64)-ROW(G$15),0))</f>
        <v>M3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2" t="str">
        <f ca="1">IF($D64&lt;&gt;"Serviço","",IF(AUTOEVENTO="Manual",IF($A64=0,"&lt;-- defina o número do agrupador",OFFSET(EVENTOS!$D$14,$A64,0)),OFFSET($F$15,$A64,0)))</f>
        <v>ENSAIOS TECNOLÓGICOS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</v>
      </c>
      <c r="AN64" s="216">
        <f ca="1">IF($D64&lt;&gt;"Serviço",0,IF(AND(AUTOEVENTO="Manual",$M64=1),0,IF(OFFSET(CRONOPLE!$F$14,$M64,AN$13)="",10^12,OFFSET(CRONOPLE!$F$14,$M64,AN$13))))</f>
        <v>1</v>
      </c>
      <c r="AO64" s="216">
        <f ca="1">IF($D64&lt;&gt;"Serviço",0,IF(AND(AUTOEVENTO="Manual",$M64=1),0,IF(OFFSET(CRONOPLE!$F$14,$M64,AO$13)="",10^12,OFFSET(CRONOPLE!$F$14,$M64,AO$13))))</f>
        <v>1</v>
      </c>
      <c r="AP64" s="216">
        <f ca="1">IF($D64&lt;&gt;"Serviço",0,IF(AND(AUTOEVENTO="Manual",$M64=1),0,IF(OFFSET(CRONOPLE!$F$14,$M64,AP$13)="",10^12,OFFSET(CRONOPLE!$F$14,$M64,AP$13))))</f>
        <v>1</v>
      </c>
      <c r="AQ64" s="216">
        <f ca="1">IF($D64&lt;&gt;"Serviço",0,IF(AND(AUTOEVENTO="Manual",$M64=1),0,IF(OFFSET(CRONOPLE!$F$14,$M64,AQ$13)="",10^12,OFFSET(CRONOPLE!$F$14,$M64,AQ$13))))</f>
        <v>2</v>
      </c>
      <c r="AR64" s="216">
        <f ca="1">IF($D64&lt;&gt;"Serviço",0,IF(AND(AUTOEVENTO="Manual",$M64=1),0,IF(OFFSET(CRONOPLE!$F$14,$M64,AR$13)="",10^12,OFFSET(CRONOPLE!$F$14,$M64,AR$13))))</f>
        <v>2</v>
      </c>
      <c r="AS64" s="216">
        <f ca="1">IF($D64&lt;&gt;"Serviço",0,IF(AND(AUTOEVENTO="Manual",$M64=1),0,IF(OFFSET(CRONOPLE!$F$14,$M64,AS$13)="",10^12,OFFSET(CRONOPLE!$F$14,$M64,AS$13))))</f>
        <v>2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hidden="1" x14ac:dyDescent="0.2">
      <c r="A65" s="9" t="str">
        <f t="shared" ca="1" si="8"/>
        <v>36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CORPO DE BSTC Ø0,40 SEM BERÇO E SEM ARMAÇÃO</v>
      </c>
      <c r="G65" s="208" t="str">
        <f ca="1">IF($D65&lt;&gt;"Serviço","",OFFSET(ORÇAMENTO!S$15,ROW(G65)-ROW(G$15),0))</f>
        <v>M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2" t="str">
        <f ca="1">IF($D65&lt;&gt;"Serviço","",IF(AUTOEVENTO="Manual",IF($A65=0,"&lt;-- defina o número do agrupador",OFFSET(EVENTOS!$D$14,$A65,0)),OFFSET($F$15,$A65,0)))</f>
        <v>ENSAIOS TECNOLÓGICOS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</v>
      </c>
      <c r="AN65" s="216">
        <f ca="1">IF($D65&lt;&gt;"Serviço",0,IF(AND(AUTOEVENTO="Manual",$M65=1),0,IF(OFFSET(CRONOPLE!$F$14,$M65,AN$13)="",10^12,OFFSET(CRONOPLE!$F$14,$M65,AN$13))))</f>
        <v>1</v>
      </c>
      <c r="AO65" s="216">
        <f ca="1">IF($D65&lt;&gt;"Serviço",0,IF(AND(AUTOEVENTO="Manual",$M65=1),0,IF(OFFSET(CRONOPLE!$F$14,$M65,AO$13)="",10^12,OFFSET(CRONOPLE!$F$14,$M65,AO$13))))</f>
        <v>1</v>
      </c>
      <c r="AP65" s="216">
        <f ca="1">IF($D65&lt;&gt;"Serviço",0,IF(AND(AUTOEVENTO="Manual",$M65=1),0,IF(OFFSET(CRONOPLE!$F$14,$M65,AP$13)="",10^12,OFFSET(CRONOPLE!$F$14,$M65,AP$13))))</f>
        <v>1</v>
      </c>
      <c r="AQ65" s="216">
        <f ca="1">IF($D65&lt;&gt;"Serviço",0,IF(AND(AUTOEVENTO="Manual",$M65=1),0,IF(OFFSET(CRONOPLE!$F$14,$M65,AQ$13)="",10^12,OFFSET(CRONOPLE!$F$14,$M65,AQ$13))))</f>
        <v>2</v>
      </c>
      <c r="AR65" s="216">
        <f ca="1">IF($D65&lt;&gt;"Serviço",0,IF(AND(AUTOEVENTO="Manual",$M65=1),0,IF(OFFSET(CRONOPLE!$F$14,$M65,AR$13)="",10^12,OFFSET(CRONOPLE!$F$14,$M65,AR$13))))</f>
        <v>2</v>
      </c>
      <c r="AS65" s="216">
        <f ca="1">IF($D65&lt;&gt;"Serviço",0,IF(AND(AUTOEVENTO="Manual",$M65=1),0,IF(OFFSET(CRONOPLE!$F$14,$M65,AS$13)="",10^12,OFFSET(CRONOPLE!$F$14,$M65,AS$13))))</f>
        <v>2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hidden="1" x14ac:dyDescent="0.2">
      <c r="A66" s="9" t="str">
        <f t="shared" ca="1" si="8"/>
        <v>36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REATERRO E APILOAMENTO MECÂNICO</v>
      </c>
      <c r="G66" s="208" t="str">
        <f ca="1">IF($D66&lt;&gt;"Serviço","",OFFSET(ORÇAMENTO!S$15,ROW(G66)-ROW(G$15),0))</f>
        <v>M3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12" t="str">
        <f ca="1">IF($D66&lt;&gt;"Serviço","",IF(AUTOEVENTO="Manual",IF($A66=0,"&lt;-- defina o número do agrupador",OFFSET(EVENTOS!$D$14,$A66,0)),OFFSET($F$15,$A66,0)))</f>
        <v>ENSAIOS TECNOLÓGICOS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</v>
      </c>
      <c r="AN66" s="216">
        <f ca="1">IF($D66&lt;&gt;"Serviço",0,IF(AND(AUTOEVENTO="Manual",$M66=1),0,IF(OFFSET(CRONOPLE!$F$14,$M66,AN$13)="",10^12,OFFSET(CRONOPLE!$F$14,$M66,AN$13))))</f>
        <v>1</v>
      </c>
      <c r="AO66" s="216">
        <f ca="1">IF($D66&lt;&gt;"Serviço",0,IF(AND(AUTOEVENTO="Manual",$M66=1),0,IF(OFFSET(CRONOPLE!$F$14,$M66,AO$13)="",10^12,OFFSET(CRONOPLE!$F$14,$M66,AO$13))))</f>
        <v>1</v>
      </c>
      <c r="AP66" s="216">
        <f ca="1">IF($D66&lt;&gt;"Serviço",0,IF(AND(AUTOEVENTO="Manual",$M66=1),0,IF(OFFSET(CRONOPLE!$F$14,$M66,AP$13)="",10^12,OFFSET(CRONOPLE!$F$14,$M66,AP$13))))</f>
        <v>1</v>
      </c>
      <c r="AQ66" s="216">
        <f ca="1">IF($D66&lt;&gt;"Serviço",0,IF(AND(AUTOEVENTO="Manual",$M66=1),0,IF(OFFSET(CRONOPLE!$F$14,$M66,AQ$13)="",10^12,OFFSET(CRONOPLE!$F$14,$M66,AQ$13))))</f>
        <v>2</v>
      </c>
      <c r="AR66" s="216">
        <f ca="1">IF($D66&lt;&gt;"Serviço",0,IF(AND(AUTOEVENTO="Manual",$M66=1),0,IF(OFFSET(CRONOPLE!$F$14,$M66,AR$13)="",10^12,OFFSET(CRONOPLE!$F$14,$M66,AR$13))))</f>
        <v>2</v>
      </c>
      <c r="AS66" s="216">
        <f ca="1">IF($D66&lt;&gt;"Serviço",0,IF(AND(AUTOEVENTO="Manual",$M66=1),0,IF(OFFSET(CRONOPLE!$F$14,$M66,AS$13)="",10^12,OFFSET(CRONOPLE!$F$14,$M66,AS$13))))</f>
        <v>2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hidden="1" x14ac:dyDescent="0.2">
      <c r="A67" s="9" t="str">
        <f t="shared" ca="1" si="8"/>
        <v>36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RETIRADA E REASSENTAMENTO DE PEDRAS IRREGULARES</v>
      </c>
      <c r="G67" s="208" t="str">
        <f ca="1">IF($D67&lt;&gt;"Serviço","",OFFSET(ORÇAMENTO!S$15,ROW(G67)-ROW(G$15),0))</f>
        <v>M2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12" t="str">
        <f ca="1">IF($D67&lt;&gt;"Serviço","",IF(AUTOEVENTO="Manual",IF($A67=0,"&lt;-- defina o número do agrupador",OFFSET(EVENTOS!$D$14,$A67,0)),OFFSET($F$15,$A67,0)))</f>
        <v>ENSAIOS TECNOLÓGICOS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</v>
      </c>
      <c r="AN67" s="216">
        <f ca="1">IF($D67&lt;&gt;"Serviço",0,IF(AND(AUTOEVENTO="Manual",$M67=1),0,IF(OFFSET(CRONOPLE!$F$14,$M67,AN$13)="",10^12,OFFSET(CRONOPLE!$F$14,$M67,AN$13))))</f>
        <v>1</v>
      </c>
      <c r="AO67" s="216">
        <f ca="1">IF($D67&lt;&gt;"Serviço",0,IF(AND(AUTOEVENTO="Manual",$M67=1),0,IF(OFFSET(CRONOPLE!$F$14,$M67,AO$13)="",10^12,OFFSET(CRONOPLE!$F$14,$M67,AO$13))))</f>
        <v>1</v>
      </c>
      <c r="AP67" s="216">
        <f ca="1">IF($D67&lt;&gt;"Serviço",0,IF(AND(AUTOEVENTO="Manual",$M67=1),0,IF(OFFSET(CRONOPLE!$F$14,$M67,AP$13)="",10^12,OFFSET(CRONOPLE!$F$14,$M67,AP$13))))</f>
        <v>1</v>
      </c>
      <c r="AQ67" s="216">
        <f ca="1">IF($D67&lt;&gt;"Serviço",0,IF(AND(AUTOEVENTO="Manual",$M67=1),0,IF(OFFSET(CRONOPLE!$F$14,$M67,AQ$13)="",10^12,OFFSET(CRONOPLE!$F$14,$M67,AQ$13))))</f>
        <v>2</v>
      </c>
      <c r="AR67" s="216">
        <f ca="1">IF($D67&lt;&gt;"Serviço",0,IF(AND(AUTOEVENTO="Manual",$M67=1),0,IF(OFFSET(CRONOPLE!$F$14,$M67,AR$13)="",10^12,OFFSET(CRONOPLE!$F$14,$M67,AR$13))))</f>
        <v>2</v>
      </c>
      <c r="AS67" s="216">
        <f ca="1">IF($D67&lt;&gt;"Serviço",0,IF(AND(AUTOEVENTO="Manual",$M67=1),0,IF(OFFSET(CRONOPLE!$F$14,$M67,AS$13)="",10^12,OFFSET(CRONOPLE!$F$14,$M67,AS$13))))</f>
        <v>2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hidden="1" x14ac:dyDescent="0.2">
      <c r="A68" s="9" t="str">
        <f t="shared" ca="1" si="8"/>
        <v>36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BOCA DE LOBO SIMPLES PRÉ-MOLDADA H ATÉ 1,20 M</v>
      </c>
      <c r="G68" s="208" t="str">
        <f ca="1">IF($D68&lt;&gt;"Serviço","",OFFSET(ORÇAMENTO!S$15,ROW(G68)-ROW(G$15),0))</f>
        <v xml:space="preserve">UN 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12" t="str">
        <f ca="1">IF($D68&lt;&gt;"Serviço","",IF(AUTOEVENTO="Manual",IF($A68=0,"&lt;-- defina o número do agrupador",OFFSET(EVENTOS!$D$14,$A68,0)),OFFSET($F$15,$A68,0)))</f>
        <v>ENSAIOS TECNOLÓGICOS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</v>
      </c>
      <c r="AN68" s="216">
        <f ca="1">IF($D68&lt;&gt;"Serviço",0,IF(AND(AUTOEVENTO="Manual",$M68=1),0,IF(OFFSET(CRONOPLE!$F$14,$M68,AN$13)="",10^12,OFFSET(CRONOPLE!$F$14,$M68,AN$13))))</f>
        <v>1</v>
      </c>
      <c r="AO68" s="216">
        <f ca="1">IF($D68&lt;&gt;"Serviço",0,IF(AND(AUTOEVENTO="Manual",$M68=1),0,IF(OFFSET(CRONOPLE!$F$14,$M68,AO$13)="",10^12,OFFSET(CRONOPLE!$F$14,$M68,AO$13))))</f>
        <v>1</v>
      </c>
      <c r="AP68" s="216">
        <f ca="1">IF($D68&lt;&gt;"Serviço",0,IF(AND(AUTOEVENTO="Manual",$M68=1),0,IF(OFFSET(CRONOPLE!$F$14,$M68,AP$13)="",10^12,OFFSET(CRONOPLE!$F$14,$M68,AP$13))))</f>
        <v>1</v>
      </c>
      <c r="AQ68" s="216">
        <f ca="1">IF($D68&lt;&gt;"Serviço",0,IF(AND(AUTOEVENTO="Manual",$M68=1),0,IF(OFFSET(CRONOPLE!$F$14,$M68,AQ$13)="",10^12,OFFSET(CRONOPLE!$F$14,$M68,AQ$13))))</f>
        <v>2</v>
      </c>
      <c r="AR68" s="216">
        <f ca="1">IF($D68&lt;&gt;"Serviço",0,IF(AND(AUTOEVENTO="Manual",$M68=1),0,IF(OFFSET(CRONOPLE!$F$14,$M68,AR$13)="",10^12,OFFSET(CRONOPLE!$F$14,$M68,AR$13))))</f>
        <v>2</v>
      </c>
      <c r="AS68" s="216">
        <f ca="1">IF($D68&lt;&gt;"Serviço",0,IF(AND(AUTOEVENTO="Manual",$M68=1),0,IF(OFFSET(CRONOPLE!$F$14,$M68,AS$13)="",10^12,OFFSET(CRONOPLE!$F$14,$M68,AS$13))))</f>
        <v>2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hidden="1" x14ac:dyDescent="0.2">
      <c r="A69" s="9" t="str">
        <f t="shared" ca="1" si="8"/>
        <v>36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(Sem Código)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6</v>
      </c>
      <c r="N69" s="212" t="str">
        <f ca="1">IF($D69&lt;&gt;"Serviço","",IF(AUTOEVENTO="Manual",IF($A69=0,"&lt;-- defina o número do agrupador",OFFSET(EVENTOS!$D$14,$A69,0)),OFFSET($F$15,$A69,0)))</f>
        <v>ENSAIOS TECNOLÓGICOS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</v>
      </c>
      <c r="AN69" s="216">
        <f ca="1">IF($D69&lt;&gt;"Serviço",0,IF(AND(AUTOEVENTO="Manual",$M69=1),0,IF(OFFSET(CRONOPLE!$F$14,$M69,AN$13)="",10^12,OFFSET(CRONOPLE!$F$14,$M69,AN$13))))</f>
        <v>1</v>
      </c>
      <c r="AO69" s="216">
        <f ca="1">IF($D69&lt;&gt;"Serviço",0,IF(AND(AUTOEVENTO="Manual",$M69=1),0,IF(OFFSET(CRONOPLE!$F$14,$M69,AO$13)="",10^12,OFFSET(CRONOPLE!$F$14,$M69,AO$13))))</f>
        <v>1</v>
      </c>
      <c r="AP69" s="216">
        <f ca="1">IF($D69&lt;&gt;"Serviço",0,IF(AND(AUTOEVENTO="Manual",$M69=1),0,IF(OFFSET(CRONOPLE!$F$14,$M69,AP$13)="",10^12,OFFSET(CRONOPLE!$F$14,$M69,AP$13))))</f>
        <v>1</v>
      </c>
      <c r="AQ69" s="216">
        <f ca="1">IF($D69&lt;&gt;"Serviço",0,IF(AND(AUTOEVENTO="Manual",$M69=1),0,IF(OFFSET(CRONOPLE!$F$14,$M69,AQ$13)="",10^12,OFFSET(CRONOPLE!$F$14,$M69,AQ$13))))</f>
        <v>2</v>
      </c>
      <c r="AR69" s="216">
        <f ca="1">IF($D69&lt;&gt;"Serviço",0,IF(AND(AUTOEVENTO="Manual",$M69=1),0,IF(OFFSET(CRONOPLE!$F$14,$M69,AR$13)="",10^12,OFFSET(CRONOPLE!$F$14,$M69,AR$13))))</f>
        <v>2</v>
      </c>
      <c r="AS69" s="216">
        <f ca="1">IF($D69&lt;&gt;"Serviço",0,IF(AND(AUTOEVENTO="Manual",$M69=1),0,IF(OFFSET(CRONOPLE!$F$14,$M69,AS$13)="",10^12,OFFSET(CRONOPLE!$F$14,$M69,AS$13))))</f>
        <v>2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hidden="1" x14ac:dyDescent="0.2">
      <c r="A70" s="9" t="str">
        <f t="shared" ca="1" si="8"/>
        <v>36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6</v>
      </c>
      <c r="N70" s="212" t="str">
        <f ca="1">IF($D70&lt;&gt;"Serviço","",IF(AUTOEVENTO="Manual",IF($A70=0,"&lt;-- defina o número do agrupador",OFFSET(EVENTOS!$D$14,$A70,0)),OFFSET($F$15,$A70,0)))</f>
        <v>ENSAIOS TECNOLÓGICOS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</v>
      </c>
      <c r="AN70" s="216">
        <f ca="1">IF($D70&lt;&gt;"Serviço",0,IF(AND(AUTOEVENTO="Manual",$M70=1),0,IF(OFFSET(CRONOPLE!$F$14,$M70,AN$13)="",10^12,OFFSET(CRONOPLE!$F$14,$M70,AN$13))))</f>
        <v>1</v>
      </c>
      <c r="AO70" s="216">
        <f ca="1">IF($D70&lt;&gt;"Serviço",0,IF(AND(AUTOEVENTO="Manual",$M70=1),0,IF(OFFSET(CRONOPLE!$F$14,$M70,AO$13)="",10^12,OFFSET(CRONOPLE!$F$14,$M70,AO$13))))</f>
        <v>1</v>
      </c>
      <c r="AP70" s="216">
        <f ca="1">IF($D70&lt;&gt;"Serviço",0,IF(AND(AUTOEVENTO="Manual",$M70=1),0,IF(OFFSET(CRONOPLE!$F$14,$M70,AP$13)="",10^12,OFFSET(CRONOPLE!$F$14,$M70,AP$13))))</f>
        <v>1</v>
      </c>
      <c r="AQ70" s="216">
        <f ca="1">IF($D70&lt;&gt;"Serviço",0,IF(AND(AUTOEVENTO="Manual",$M70=1),0,IF(OFFSET(CRONOPLE!$F$14,$M70,AQ$13)="",10^12,OFFSET(CRONOPLE!$F$14,$M70,AQ$13))))</f>
        <v>2</v>
      </c>
      <c r="AR70" s="216">
        <f ca="1">IF($D70&lt;&gt;"Serviço",0,IF(AND(AUTOEVENTO="Manual",$M70=1),0,IF(OFFSET(CRONOPLE!$F$14,$M70,AR$13)="",10^12,OFFSET(CRONOPLE!$F$14,$M70,AR$13))))</f>
        <v>2</v>
      </c>
      <c r="AS70" s="216">
        <f ca="1">IF($D70&lt;&gt;"Serviço",0,IF(AND(AUTOEVENTO="Manual",$M70=1),0,IF(OFFSET(CRONOPLE!$F$14,$M70,AS$13)="",10^12,OFFSET(CRONOPLE!$F$14,$M70,AS$13))))</f>
        <v>2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hidden="1" x14ac:dyDescent="0.2">
      <c r="A71" s="9" t="str">
        <f t="shared" ca="1" si="8"/>
        <v>36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6</v>
      </c>
      <c r="N71" s="212" t="str">
        <f ca="1">IF($D71&lt;&gt;"Serviço","",IF(AUTOEVENTO="Manual",IF($A71=0,"&lt;-- defina o número do agrupador",OFFSET(EVENTOS!$D$14,$A71,0)),OFFSET($F$15,$A71,0)))</f>
        <v>ENSAIOS TECNOLÓGICOS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</v>
      </c>
      <c r="AN71" s="216">
        <f ca="1">IF($D71&lt;&gt;"Serviço",0,IF(AND(AUTOEVENTO="Manual",$M71=1),0,IF(OFFSET(CRONOPLE!$F$14,$M71,AN$13)="",10^12,OFFSET(CRONOPLE!$F$14,$M71,AN$13))))</f>
        <v>1</v>
      </c>
      <c r="AO71" s="216">
        <f ca="1">IF($D71&lt;&gt;"Serviço",0,IF(AND(AUTOEVENTO="Manual",$M71=1),0,IF(OFFSET(CRONOPLE!$F$14,$M71,AO$13)="",10^12,OFFSET(CRONOPLE!$F$14,$M71,AO$13))))</f>
        <v>1</v>
      </c>
      <c r="AP71" s="216">
        <f ca="1">IF($D71&lt;&gt;"Serviço",0,IF(AND(AUTOEVENTO="Manual",$M71=1),0,IF(OFFSET(CRONOPLE!$F$14,$M71,AP$13)="",10^12,OFFSET(CRONOPLE!$F$14,$M71,AP$13))))</f>
        <v>1</v>
      </c>
      <c r="AQ71" s="216">
        <f ca="1">IF($D71&lt;&gt;"Serviço",0,IF(AND(AUTOEVENTO="Manual",$M71=1),0,IF(OFFSET(CRONOPLE!$F$14,$M71,AQ$13)="",10^12,OFFSET(CRONOPLE!$F$14,$M71,AQ$13))))</f>
        <v>2</v>
      </c>
      <c r="AR71" s="216">
        <f ca="1">IF($D71&lt;&gt;"Serviço",0,IF(AND(AUTOEVENTO="Manual",$M71=1),0,IF(OFFSET(CRONOPLE!$F$14,$M71,AR$13)="",10^12,OFFSET(CRONOPLE!$F$14,$M71,AR$13))))</f>
        <v>2</v>
      </c>
      <c r="AS71" s="216">
        <f ca="1">IF($D71&lt;&gt;"Serviço",0,IF(AND(AUTOEVENTO="Manual",$M71=1),0,IF(OFFSET(CRONOPLE!$F$14,$M71,AS$13)="",10^12,OFFSET(CRONOPLE!$F$14,$M71,AS$13))))</f>
        <v>2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hidden="1" x14ac:dyDescent="0.2">
      <c r="A72" s="9" t="str">
        <f t="shared" ca="1" si="8"/>
        <v>36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6</v>
      </c>
      <c r="N72" s="212" t="str">
        <f ca="1">IF($D72&lt;&gt;"Serviço","",IF(AUTOEVENTO="Manual",IF($A72=0,"&lt;-- defina o número do agrupador",OFFSET(EVENTOS!$D$14,$A72,0)),OFFSET($F$15,$A72,0)))</f>
        <v>ENSAIOS TECNOLÓGICOS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</v>
      </c>
      <c r="AN72" s="216">
        <f ca="1">IF($D72&lt;&gt;"Serviço",0,IF(AND(AUTOEVENTO="Manual",$M72=1),0,IF(OFFSET(CRONOPLE!$F$14,$M72,AN$13)="",10^12,OFFSET(CRONOPLE!$F$14,$M72,AN$13))))</f>
        <v>1</v>
      </c>
      <c r="AO72" s="216">
        <f ca="1">IF($D72&lt;&gt;"Serviço",0,IF(AND(AUTOEVENTO="Manual",$M72=1),0,IF(OFFSET(CRONOPLE!$F$14,$M72,AO$13)="",10^12,OFFSET(CRONOPLE!$F$14,$M72,AO$13))))</f>
        <v>1</v>
      </c>
      <c r="AP72" s="216">
        <f ca="1">IF($D72&lt;&gt;"Serviço",0,IF(AND(AUTOEVENTO="Manual",$M72=1),0,IF(OFFSET(CRONOPLE!$F$14,$M72,AP$13)="",10^12,OFFSET(CRONOPLE!$F$14,$M72,AP$13))))</f>
        <v>1</v>
      </c>
      <c r="AQ72" s="216">
        <f ca="1">IF($D72&lt;&gt;"Serviço",0,IF(AND(AUTOEVENTO="Manual",$M72=1),0,IF(OFFSET(CRONOPLE!$F$14,$M72,AQ$13)="",10^12,OFFSET(CRONOPLE!$F$14,$M72,AQ$13))))</f>
        <v>2</v>
      </c>
      <c r="AR72" s="216">
        <f ca="1">IF($D72&lt;&gt;"Serviço",0,IF(AND(AUTOEVENTO="Manual",$M72=1),0,IF(OFFSET(CRONOPLE!$F$14,$M72,AR$13)="",10^12,OFFSET(CRONOPLE!$F$14,$M72,AR$13))))</f>
        <v>2</v>
      </c>
      <c r="AS72" s="216">
        <f ca="1">IF($D72&lt;&gt;"Serviço",0,IF(AND(AUTOEVENTO="Manual",$M72=1),0,IF(OFFSET(CRONOPLE!$F$14,$M72,AS$13)="",10^12,OFFSET(CRONOPLE!$F$14,$M72,AS$13))))</f>
        <v>2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hidden="1" x14ac:dyDescent="0.2">
      <c r="A73" s="9" t="str">
        <f t="shared" ca="1" si="8"/>
        <v>36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6</v>
      </c>
      <c r="N73" s="212" t="str">
        <f ca="1">IF($D73&lt;&gt;"Serviço","",IF(AUTOEVENTO="Manual",IF($A73=0,"&lt;-- defina o número do agrupador",OFFSET(EVENTOS!$D$14,$A73,0)),OFFSET($F$15,$A73,0)))</f>
        <v>ENSAIOS TECNOLÓGICOS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</v>
      </c>
      <c r="AN73" s="216">
        <f ca="1">IF($D73&lt;&gt;"Serviço",0,IF(AND(AUTOEVENTO="Manual",$M73=1),0,IF(OFFSET(CRONOPLE!$F$14,$M73,AN$13)="",10^12,OFFSET(CRONOPLE!$F$14,$M73,AN$13))))</f>
        <v>1</v>
      </c>
      <c r="AO73" s="216">
        <f ca="1">IF($D73&lt;&gt;"Serviço",0,IF(AND(AUTOEVENTO="Manual",$M73=1),0,IF(OFFSET(CRONOPLE!$F$14,$M73,AO$13)="",10^12,OFFSET(CRONOPLE!$F$14,$M73,AO$13))))</f>
        <v>1</v>
      </c>
      <c r="AP73" s="216">
        <f ca="1">IF($D73&lt;&gt;"Serviço",0,IF(AND(AUTOEVENTO="Manual",$M73=1),0,IF(OFFSET(CRONOPLE!$F$14,$M73,AP$13)="",10^12,OFFSET(CRONOPLE!$F$14,$M73,AP$13))))</f>
        <v>1</v>
      </c>
      <c r="AQ73" s="216">
        <f ca="1">IF($D73&lt;&gt;"Serviço",0,IF(AND(AUTOEVENTO="Manual",$M73=1),0,IF(OFFSET(CRONOPLE!$F$14,$M73,AQ$13)="",10^12,OFFSET(CRONOPLE!$F$14,$M73,AQ$13))))</f>
        <v>2</v>
      </c>
      <c r="AR73" s="216">
        <f ca="1">IF($D73&lt;&gt;"Serviço",0,IF(AND(AUTOEVENTO="Manual",$M73=1),0,IF(OFFSET(CRONOPLE!$F$14,$M73,AR$13)="",10^12,OFFSET(CRONOPLE!$F$14,$M73,AR$13))))</f>
        <v>2</v>
      </c>
      <c r="AS73" s="216">
        <f ca="1">IF($D73&lt;&gt;"Serviço",0,IF(AND(AUTOEVENTO="Manual",$M73=1),0,IF(OFFSET(CRONOPLE!$F$14,$M73,AS$13)="",10^12,OFFSET(CRONOPLE!$F$14,$M73,AS$13))))</f>
        <v>2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hidden="1" x14ac:dyDescent="0.2">
      <c r="A74" s="9" t="str">
        <f t="shared" ca="1" si="8"/>
        <v>36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(Sem Código)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6</v>
      </c>
      <c r="N74" s="212" t="str">
        <f ca="1">IF($D74&lt;&gt;"Serviço","",IF(AUTOEVENTO="Manual",IF($A74=0,"&lt;-- defina o número do agrupador",OFFSET(EVENTOS!$D$14,$A74,0)),OFFSET($F$15,$A74,0)))</f>
        <v>ENSAIOS TECNOLÓGICOS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</v>
      </c>
      <c r="AN74" s="216">
        <f ca="1">IF($D74&lt;&gt;"Serviço",0,IF(AND(AUTOEVENTO="Manual",$M74=1),0,IF(OFFSET(CRONOPLE!$F$14,$M74,AN$13)="",10^12,OFFSET(CRONOPLE!$F$14,$M74,AN$13))))</f>
        <v>1</v>
      </c>
      <c r="AO74" s="216">
        <f ca="1">IF($D74&lt;&gt;"Serviço",0,IF(AND(AUTOEVENTO="Manual",$M74=1),0,IF(OFFSET(CRONOPLE!$F$14,$M74,AO$13)="",10^12,OFFSET(CRONOPLE!$F$14,$M74,AO$13))))</f>
        <v>1</v>
      </c>
      <c r="AP74" s="216">
        <f ca="1">IF($D74&lt;&gt;"Serviço",0,IF(AND(AUTOEVENTO="Manual",$M74=1),0,IF(OFFSET(CRONOPLE!$F$14,$M74,AP$13)="",10^12,OFFSET(CRONOPLE!$F$14,$M74,AP$13))))</f>
        <v>1</v>
      </c>
      <c r="AQ74" s="216">
        <f ca="1">IF($D74&lt;&gt;"Serviço",0,IF(AND(AUTOEVENTO="Manual",$M74=1),0,IF(OFFSET(CRONOPLE!$F$14,$M74,AQ$13)="",10^12,OFFSET(CRONOPLE!$F$14,$M74,AQ$13))))</f>
        <v>2</v>
      </c>
      <c r="AR74" s="216">
        <f ca="1">IF($D74&lt;&gt;"Serviço",0,IF(AND(AUTOEVENTO="Manual",$M74=1),0,IF(OFFSET(CRONOPLE!$F$14,$M74,AR$13)="",10^12,OFFSET(CRONOPLE!$F$14,$M74,AR$13))))</f>
        <v>2</v>
      </c>
      <c r="AS74" s="216">
        <f ca="1">IF($D74&lt;&gt;"Serviço",0,IF(AND(AUTOEVENTO="Manual",$M74=1),0,IF(OFFSET(CRONOPLE!$F$14,$M74,AS$13)="",10^12,OFFSET(CRONOPLE!$F$14,$M74,AS$13))))</f>
        <v>2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hidden="1" x14ac:dyDescent="0.2">
      <c r="A75" s="9" t="str">
        <f t="shared" ca="1" si="8"/>
        <v>36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(Sem Código)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6</v>
      </c>
      <c r="N75" s="212" t="str">
        <f ca="1">IF($D75&lt;&gt;"Serviço","",IF(AUTOEVENTO="Manual",IF($A75=0,"&lt;-- defina o número do agrupador",OFFSET(EVENTOS!$D$14,$A75,0)),OFFSET($F$15,$A75,0)))</f>
        <v>ENSAIOS TECNOLÓGICOS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</v>
      </c>
      <c r="AN75" s="216">
        <f ca="1">IF($D75&lt;&gt;"Serviço",0,IF(AND(AUTOEVENTO="Manual",$M75=1),0,IF(OFFSET(CRONOPLE!$F$14,$M75,AN$13)="",10^12,OFFSET(CRONOPLE!$F$14,$M75,AN$13))))</f>
        <v>1</v>
      </c>
      <c r="AO75" s="216">
        <f ca="1">IF($D75&lt;&gt;"Serviço",0,IF(AND(AUTOEVENTO="Manual",$M75=1),0,IF(OFFSET(CRONOPLE!$F$14,$M75,AO$13)="",10^12,OFFSET(CRONOPLE!$F$14,$M75,AO$13))))</f>
        <v>1</v>
      </c>
      <c r="AP75" s="216">
        <f ca="1">IF($D75&lt;&gt;"Serviço",0,IF(AND(AUTOEVENTO="Manual",$M75=1),0,IF(OFFSET(CRONOPLE!$F$14,$M75,AP$13)="",10^12,OFFSET(CRONOPLE!$F$14,$M75,AP$13))))</f>
        <v>1</v>
      </c>
      <c r="AQ75" s="216">
        <f ca="1">IF($D75&lt;&gt;"Serviço",0,IF(AND(AUTOEVENTO="Manual",$M75=1),0,IF(OFFSET(CRONOPLE!$F$14,$M75,AQ$13)="",10^12,OFFSET(CRONOPLE!$F$14,$M75,AQ$13))))</f>
        <v>2</v>
      </c>
      <c r="AR75" s="216">
        <f ca="1">IF($D75&lt;&gt;"Serviço",0,IF(AND(AUTOEVENTO="Manual",$M75=1),0,IF(OFFSET(CRONOPLE!$F$14,$M75,AR$13)="",10^12,OFFSET(CRONOPLE!$F$14,$M75,AR$13))))</f>
        <v>2</v>
      </c>
      <c r="AS75" s="216">
        <f ca="1">IF($D75&lt;&gt;"Serviço",0,IF(AND(AUTOEVENTO="Manual",$M75=1),0,IF(OFFSET(CRONOPLE!$F$14,$M75,AS$13)="",10^12,OFFSET(CRONOPLE!$F$14,$M75,AS$13))))</f>
        <v>2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hidden="1" x14ac:dyDescent="0.2">
      <c r="A76" s="9" t="str">
        <f t="shared" ca="1" si="8"/>
        <v>36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(Sem Código)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6</v>
      </c>
      <c r="N76" s="212" t="str">
        <f ca="1">IF($D76&lt;&gt;"Serviço","",IF(AUTOEVENTO="Manual",IF($A76=0,"&lt;-- defina o número do agrupador",OFFSET(EVENTOS!$D$14,$A76,0)),OFFSET($F$15,$A76,0)))</f>
        <v>ENSAIOS TECNOLÓGICOS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</v>
      </c>
      <c r="AN76" s="216">
        <f ca="1">IF($D76&lt;&gt;"Serviço",0,IF(AND(AUTOEVENTO="Manual",$M76=1),0,IF(OFFSET(CRONOPLE!$F$14,$M76,AN$13)="",10^12,OFFSET(CRONOPLE!$F$14,$M76,AN$13))))</f>
        <v>1</v>
      </c>
      <c r="AO76" s="216">
        <f ca="1">IF($D76&lt;&gt;"Serviço",0,IF(AND(AUTOEVENTO="Manual",$M76=1),0,IF(OFFSET(CRONOPLE!$F$14,$M76,AO$13)="",10^12,OFFSET(CRONOPLE!$F$14,$M76,AO$13))))</f>
        <v>1</v>
      </c>
      <c r="AP76" s="216">
        <f ca="1">IF($D76&lt;&gt;"Serviço",0,IF(AND(AUTOEVENTO="Manual",$M76=1),0,IF(OFFSET(CRONOPLE!$F$14,$M76,AP$13)="",10^12,OFFSET(CRONOPLE!$F$14,$M76,AP$13))))</f>
        <v>1</v>
      </c>
      <c r="AQ76" s="216">
        <f ca="1">IF($D76&lt;&gt;"Serviço",0,IF(AND(AUTOEVENTO="Manual",$M76=1),0,IF(OFFSET(CRONOPLE!$F$14,$M76,AQ$13)="",10^12,OFFSET(CRONOPLE!$F$14,$M76,AQ$13))))</f>
        <v>2</v>
      </c>
      <c r="AR76" s="216">
        <f ca="1">IF($D76&lt;&gt;"Serviço",0,IF(AND(AUTOEVENTO="Manual",$M76=1),0,IF(OFFSET(CRONOPLE!$F$14,$M76,AR$13)="",10^12,OFFSET(CRONOPLE!$F$14,$M76,AR$13))))</f>
        <v>2</v>
      </c>
      <c r="AS76" s="216">
        <f ca="1">IF($D76&lt;&gt;"Serviço",0,IF(AND(AUTOEVENTO="Manual",$M76=1),0,IF(OFFSET(CRONOPLE!$F$14,$M76,AS$13)="",10^12,OFFSET(CRONOPLE!$F$14,$M76,AS$13))))</f>
        <v>2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hidden="1" x14ac:dyDescent="0.2">
      <c r="A77" s="9" t="str">
        <f t="shared" ca="1" si="8"/>
        <v>36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(Sem Código)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6</v>
      </c>
      <c r="N77" s="212" t="str">
        <f ca="1">IF($D77&lt;&gt;"Serviço","",IF(AUTOEVENTO="Manual",IF($A77=0,"&lt;-- defina o número do agrupador",OFFSET(EVENTOS!$D$14,$A77,0)),OFFSET($F$15,$A77,0)))</f>
        <v>ENSAIOS TECNOLÓGICOS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</v>
      </c>
      <c r="AN77" s="216">
        <f ca="1">IF($D77&lt;&gt;"Serviço",0,IF(AND(AUTOEVENTO="Manual",$M77=1),0,IF(OFFSET(CRONOPLE!$F$14,$M77,AN$13)="",10^12,OFFSET(CRONOPLE!$F$14,$M77,AN$13))))</f>
        <v>1</v>
      </c>
      <c r="AO77" s="216">
        <f ca="1">IF($D77&lt;&gt;"Serviço",0,IF(AND(AUTOEVENTO="Manual",$M77=1),0,IF(OFFSET(CRONOPLE!$F$14,$M77,AO$13)="",10^12,OFFSET(CRONOPLE!$F$14,$M77,AO$13))))</f>
        <v>1</v>
      </c>
      <c r="AP77" s="216">
        <f ca="1">IF($D77&lt;&gt;"Serviço",0,IF(AND(AUTOEVENTO="Manual",$M77=1),0,IF(OFFSET(CRONOPLE!$F$14,$M77,AP$13)="",10^12,OFFSET(CRONOPLE!$F$14,$M77,AP$13))))</f>
        <v>1</v>
      </c>
      <c r="AQ77" s="216">
        <f ca="1">IF($D77&lt;&gt;"Serviço",0,IF(AND(AUTOEVENTO="Manual",$M77=1),0,IF(OFFSET(CRONOPLE!$F$14,$M77,AQ$13)="",10^12,OFFSET(CRONOPLE!$F$14,$M77,AQ$13))))</f>
        <v>2</v>
      </c>
      <c r="AR77" s="216">
        <f ca="1">IF($D77&lt;&gt;"Serviço",0,IF(AND(AUTOEVENTO="Manual",$M77=1),0,IF(OFFSET(CRONOPLE!$F$14,$M77,AR$13)="",10^12,OFFSET(CRONOPLE!$F$14,$M77,AR$13))))</f>
        <v>2</v>
      </c>
      <c r="AS77" s="216">
        <f ca="1">IF($D77&lt;&gt;"Serviço",0,IF(AND(AUTOEVENTO="Manual",$M77=1),0,IF(OFFSET(CRONOPLE!$F$14,$M77,AS$13)="",10^12,OFFSET(CRONOPLE!$F$14,$M77,AS$13))))</f>
        <v>2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hidden="1" x14ac:dyDescent="0.2">
      <c r="A78" s="9" t="str">
        <f t="shared" ca="1" si="8"/>
        <v>36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(Sem Código)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6</v>
      </c>
      <c r="N78" s="212" t="str">
        <f ca="1">IF($D78&lt;&gt;"Serviço","",IF(AUTOEVENTO="Manual",IF($A78=0,"&lt;-- defina o número do agrupador",OFFSET(EVENTOS!$D$14,$A78,0)),OFFSET($F$15,$A78,0)))</f>
        <v>ENSAIOS TECNOLÓGICOS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</v>
      </c>
      <c r="AN78" s="216">
        <f ca="1">IF($D78&lt;&gt;"Serviço",0,IF(AND(AUTOEVENTO="Manual",$M78=1),0,IF(OFFSET(CRONOPLE!$F$14,$M78,AN$13)="",10^12,OFFSET(CRONOPLE!$F$14,$M78,AN$13))))</f>
        <v>1</v>
      </c>
      <c r="AO78" s="216">
        <f ca="1">IF($D78&lt;&gt;"Serviço",0,IF(AND(AUTOEVENTO="Manual",$M78=1),0,IF(OFFSET(CRONOPLE!$F$14,$M78,AO$13)="",10^12,OFFSET(CRONOPLE!$F$14,$M78,AO$13))))</f>
        <v>1</v>
      </c>
      <c r="AP78" s="216">
        <f ca="1">IF($D78&lt;&gt;"Serviço",0,IF(AND(AUTOEVENTO="Manual",$M78=1),0,IF(OFFSET(CRONOPLE!$F$14,$M78,AP$13)="",10^12,OFFSET(CRONOPLE!$F$14,$M78,AP$13))))</f>
        <v>1</v>
      </c>
      <c r="AQ78" s="216">
        <f ca="1">IF($D78&lt;&gt;"Serviço",0,IF(AND(AUTOEVENTO="Manual",$M78=1),0,IF(OFFSET(CRONOPLE!$F$14,$M78,AQ$13)="",10^12,OFFSET(CRONOPLE!$F$14,$M78,AQ$13))))</f>
        <v>2</v>
      </c>
      <c r="AR78" s="216">
        <f ca="1">IF($D78&lt;&gt;"Serviço",0,IF(AND(AUTOEVENTO="Manual",$M78=1),0,IF(OFFSET(CRONOPLE!$F$14,$M78,AR$13)="",10^12,OFFSET(CRONOPLE!$F$14,$M78,AR$13))))</f>
        <v>2</v>
      </c>
      <c r="AS78" s="216">
        <f ca="1">IF($D78&lt;&gt;"Serviço",0,IF(AND(AUTOEVENTO="Manual",$M78=1),0,IF(OFFSET(CRONOPLE!$F$14,$M78,AS$13)="",10^12,OFFSET(CRONOPLE!$F$14,$M78,AS$13))))</f>
        <v>2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hidden="1" x14ac:dyDescent="0.2">
      <c r="A79" s="9" t="str">
        <f t="shared" ca="1" si="8"/>
        <v>36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(Sem Código)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6</v>
      </c>
      <c r="N79" s="212" t="str">
        <f ca="1">IF($D79&lt;&gt;"Serviço","",IF(AUTOEVENTO="Manual",IF($A79=0,"&lt;-- defina o número do agrupador",OFFSET(EVENTOS!$D$14,$A79,0)),OFFSET($F$15,$A79,0)))</f>
        <v>ENSAIOS TECNOLÓGICOS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</v>
      </c>
      <c r="AN79" s="216">
        <f ca="1">IF($D79&lt;&gt;"Serviço",0,IF(AND(AUTOEVENTO="Manual",$M79=1),0,IF(OFFSET(CRONOPLE!$F$14,$M79,AN$13)="",10^12,OFFSET(CRONOPLE!$F$14,$M79,AN$13))))</f>
        <v>1</v>
      </c>
      <c r="AO79" s="216">
        <f ca="1">IF($D79&lt;&gt;"Serviço",0,IF(AND(AUTOEVENTO="Manual",$M79=1),0,IF(OFFSET(CRONOPLE!$F$14,$M79,AO$13)="",10^12,OFFSET(CRONOPLE!$F$14,$M79,AO$13))))</f>
        <v>1</v>
      </c>
      <c r="AP79" s="216">
        <f ca="1">IF($D79&lt;&gt;"Serviço",0,IF(AND(AUTOEVENTO="Manual",$M79=1),0,IF(OFFSET(CRONOPLE!$F$14,$M79,AP$13)="",10^12,OFFSET(CRONOPLE!$F$14,$M79,AP$13))))</f>
        <v>1</v>
      </c>
      <c r="AQ79" s="216">
        <f ca="1">IF($D79&lt;&gt;"Serviço",0,IF(AND(AUTOEVENTO="Manual",$M79=1),0,IF(OFFSET(CRONOPLE!$F$14,$M79,AQ$13)="",10^12,OFFSET(CRONOPLE!$F$14,$M79,AQ$13))))</f>
        <v>2</v>
      </c>
      <c r="AR79" s="216">
        <f ca="1">IF($D79&lt;&gt;"Serviço",0,IF(AND(AUTOEVENTO="Manual",$M79=1),0,IF(OFFSET(CRONOPLE!$F$14,$M79,AR$13)="",10^12,OFFSET(CRONOPLE!$F$14,$M79,AR$13))))</f>
        <v>2</v>
      </c>
      <c r="AS79" s="216">
        <f ca="1">IF($D79&lt;&gt;"Serviço",0,IF(AND(AUTOEVENTO="Manual",$M79=1),0,IF(OFFSET(CRONOPLE!$F$14,$M79,AS$13)="",10^12,OFFSET(CRONOPLE!$F$14,$M79,AS$13))))</f>
        <v>2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hidden="1" x14ac:dyDescent="0.2">
      <c r="A80" s="9" t="str">
        <f t="shared" ref="A80:A143" ca="1" si="17">IF(AUTOEVENTO="Manual",IF(K80&lt;&gt;"",MIN(VALUE(LEFT(K80,FIND(".",K80)-1)),COUNTA(EVENTOS.Lista)),0),IF(OR($B80&gt;AUTOEVENTO,$B80="S",$B80=0),SUBSTITUTE(OFFSET($A80,-1,0),IF($D80="Serviço",".",""),""),ROW(A80)-ROW($A$15)&amp;"."))</f>
        <v>36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(Sem Código)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6</v>
      </c>
      <c r="N80" s="212" t="str">
        <f ca="1">IF($D80&lt;&gt;"Serviço","",IF(AUTOEVENTO="Manual",IF($A80=0,"&lt;-- defina o número do agrupador",OFFSET(EVENTOS!$D$14,$A80,0)),OFFSET($F$15,$A80,0)))</f>
        <v>ENSAIOS TECNOLÓGICOS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</v>
      </c>
      <c r="AN80" s="216">
        <f ca="1">IF($D80&lt;&gt;"Serviço",0,IF(AND(AUTOEVENTO="Manual",$M80=1),0,IF(OFFSET(CRONOPLE!$F$14,$M80,AN$13)="",10^12,OFFSET(CRONOPLE!$F$14,$M80,AN$13))))</f>
        <v>1</v>
      </c>
      <c r="AO80" s="216">
        <f ca="1">IF($D80&lt;&gt;"Serviço",0,IF(AND(AUTOEVENTO="Manual",$M80=1),0,IF(OFFSET(CRONOPLE!$F$14,$M80,AO$13)="",10^12,OFFSET(CRONOPLE!$F$14,$M80,AO$13))))</f>
        <v>1</v>
      </c>
      <c r="AP80" s="216">
        <f ca="1">IF($D80&lt;&gt;"Serviço",0,IF(AND(AUTOEVENTO="Manual",$M80=1),0,IF(OFFSET(CRONOPLE!$F$14,$M80,AP$13)="",10^12,OFFSET(CRONOPLE!$F$14,$M80,AP$13))))</f>
        <v>1</v>
      </c>
      <c r="AQ80" s="216">
        <f ca="1">IF($D80&lt;&gt;"Serviço",0,IF(AND(AUTOEVENTO="Manual",$M80=1),0,IF(OFFSET(CRONOPLE!$F$14,$M80,AQ$13)="",10^12,OFFSET(CRONOPLE!$F$14,$M80,AQ$13))))</f>
        <v>2</v>
      </c>
      <c r="AR80" s="216">
        <f ca="1">IF($D80&lt;&gt;"Serviço",0,IF(AND(AUTOEVENTO="Manual",$M80=1),0,IF(OFFSET(CRONOPLE!$F$14,$M80,AR$13)="",10^12,OFFSET(CRONOPLE!$F$14,$M80,AR$13))))</f>
        <v>2</v>
      </c>
      <c r="AS80" s="216">
        <f ca="1">IF($D80&lt;&gt;"Serviço",0,IF(AND(AUTOEVENTO="Manual",$M80=1),0,IF(OFFSET(CRONOPLE!$F$14,$M80,AS$13)="",10^12,OFFSET(CRONOPLE!$F$14,$M80,AS$13))))</f>
        <v>2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hidden="1" x14ac:dyDescent="0.2">
      <c r="A81" s="9" t="str">
        <f t="shared" ca="1" si="17"/>
        <v>36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6</v>
      </c>
      <c r="N81" s="212" t="str">
        <f ca="1">IF($D81&lt;&gt;"Serviço","",IF(AUTOEVENTO="Manual",IF($A81=0,"&lt;-- defina o número do agrupador",OFFSET(EVENTOS!$D$14,$A81,0)),OFFSET($F$15,$A81,0)))</f>
        <v>ENSAIOS TECNOLÓGICOS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</v>
      </c>
      <c r="AN81" s="216">
        <f ca="1">IF($D81&lt;&gt;"Serviço",0,IF(AND(AUTOEVENTO="Manual",$M81=1),0,IF(OFFSET(CRONOPLE!$F$14,$M81,AN$13)="",10^12,OFFSET(CRONOPLE!$F$14,$M81,AN$13))))</f>
        <v>1</v>
      </c>
      <c r="AO81" s="216">
        <f ca="1">IF($D81&lt;&gt;"Serviço",0,IF(AND(AUTOEVENTO="Manual",$M81=1),0,IF(OFFSET(CRONOPLE!$F$14,$M81,AO$13)="",10^12,OFFSET(CRONOPLE!$F$14,$M81,AO$13))))</f>
        <v>1</v>
      </c>
      <c r="AP81" s="216">
        <f ca="1">IF($D81&lt;&gt;"Serviço",0,IF(AND(AUTOEVENTO="Manual",$M81=1),0,IF(OFFSET(CRONOPLE!$F$14,$M81,AP$13)="",10^12,OFFSET(CRONOPLE!$F$14,$M81,AP$13))))</f>
        <v>1</v>
      </c>
      <c r="AQ81" s="216">
        <f ca="1">IF($D81&lt;&gt;"Serviço",0,IF(AND(AUTOEVENTO="Manual",$M81=1),0,IF(OFFSET(CRONOPLE!$F$14,$M81,AQ$13)="",10^12,OFFSET(CRONOPLE!$F$14,$M81,AQ$13))))</f>
        <v>2</v>
      </c>
      <c r="AR81" s="216">
        <f ca="1">IF($D81&lt;&gt;"Serviço",0,IF(AND(AUTOEVENTO="Manual",$M81=1),0,IF(OFFSET(CRONOPLE!$F$14,$M81,AR$13)="",10^12,OFFSET(CRONOPLE!$F$14,$M81,AR$13))))</f>
        <v>2</v>
      </c>
      <c r="AS81" s="216">
        <f ca="1">IF($D81&lt;&gt;"Serviço",0,IF(AND(AUTOEVENTO="Manual",$M81=1),0,IF(OFFSET(CRONOPLE!$F$14,$M81,AS$13)="",10^12,OFFSET(CRONOPLE!$F$14,$M81,AS$13))))</f>
        <v>2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hidden="1" x14ac:dyDescent="0.2">
      <c r="A82" s="9" t="str">
        <f t="shared" ca="1" si="17"/>
        <v>36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(Sem Código)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6</v>
      </c>
      <c r="N82" s="212" t="str">
        <f ca="1">IF($D82&lt;&gt;"Serviço","",IF(AUTOEVENTO="Manual",IF($A82=0,"&lt;-- defina o número do agrupador",OFFSET(EVENTOS!$D$14,$A82,0)),OFFSET($F$15,$A82,0)))</f>
        <v>ENSAIOS TECNOLÓGICOS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</v>
      </c>
      <c r="AN82" s="216">
        <f ca="1">IF($D82&lt;&gt;"Serviço",0,IF(AND(AUTOEVENTO="Manual",$M82=1),0,IF(OFFSET(CRONOPLE!$F$14,$M82,AN$13)="",10^12,OFFSET(CRONOPLE!$F$14,$M82,AN$13))))</f>
        <v>1</v>
      </c>
      <c r="AO82" s="216">
        <f ca="1">IF($D82&lt;&gt;"Serviço",0,IF(AND(AUTOEVENTO="Manual",$M82=1),0,IF(OFFSET(CRONOPLE!$F$14,$M82,AO$13)="",10^12,OFFSET(CRONOPLE!$F$14,$M82,AO$13))))</f>
        <v>1</v>
      </c>
      <c r="AP82" s="216">
        <f ca="1">IF($D82&lt;&gt;"Serviço",0,IF(AND(AUTOEVENTO="Manual",$M82=1),0,IF(OFFSET(CRONOPLE!$F$14,$M82,AP$13)="",10^12,OFFSET(CRONOPLE!$F$14,$M82,AP$13))))</f>
        <v>1</v>
      </c>
      <c r="AQ82" s="216">
        <f ca="1">IF($D82&lt;&gt;"Serviço",0,IF(AND(AUTOEVENTO="Manual",$M82=1),0,IF(OFFSET(CRONOPLE!$F$14,$M82,AQ$13)="",10^12,OFFSET(CRONOPLE!$F$14,$M82,AQ$13))))</f>
        <v>2</v>
      </c>
      <c r="AR82" s="216">
        <f ca="1">IF($D82&lt;&gt;"Serviço",0,IF(AND(AUTOEVENTO="Manual",$M82=1),0,IF(OFFSET(CRONOPLE!$F$14,$M82,AR$13)="",10^12,OFFSET(CRONOPLE!$F$14,$M82,AR$13))))</f>
        <v>2</v>
      </c>
      <c r="AS82" s="216">
        <f ca="1">IF($D82&lt;&gt;"Serviço",0,IF(AND(AUTOEVENTO="Manual",$M82=1),0,IF(OFFSET(CRONOPLE!$F$14,$M82,AS$13)="",10^12,OFFSET(CRONOPLE!$F$14,$M82,AS$13))))</f>
        <v>2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hidden="1" x14ac:dyDescent="0.2">
      <c r="A83" s="9" t="str">
        <f t="shared" ca="1" si="17"/>
        <v>36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6</v>
      </c>
      <c r="N83" s="212" t="str">
        <f ca="1">IF($D83&lt;&gt;"Serviço","",IF(AUTOEVENTO="Manual",IF($A83=0,"&lt;-- defina o número do agrupador",OFFSET(EVENTOS!$D$14,$A83,0)),OFFSET($F$15,$A83,0)))</f>
        <v>ENSAIOS TECNOLÓGICOS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</v>
      </c>
      <c r="AN83" s="216">
        <f ca="1">IF($D83&lt;&gt;"Serviço",0,IF(AND(AUTOEVENTO="Manual",$M83=1),0,IF(OFFSET(CRONOPLE!$F$14,$M83,AN$13)="",10^12,OFFSET(CRONOPLE!$F$14,$M83,AN$13))))</f>
        <v>1</v>
      </c>
      <c r="AO83" s="216">
        <f ca="1">IF($D83&lt;&gt;"Serviço",0,IF(AND(AUTOEVENTO="Manual",$M83=1),0,IF(OFFSET(CRONOPLE!$F$14,$M83,AO$13)="",10^12,OFFSET(CRONOPLE!$F$14,$M83,AO$13))))</f>
        <v>1</v>
      </c>
      <c r="AP83" s="216">
        <f ca="1">IF($D83&lt;&gt;"Serviço",0,IF(AND(AUTOEVENTO="Manual",$M83=1),0,IF(OFFSET(CRONOPLE!$F$14,$M83,AP$13)="",10^12,OFFSET(CRONOPLE!$F$14,$M83,AP$13))))</f>
        <v>1</v>
      </c>
      <c r="AQ83" s="216">
        <f ca="1">IF($D83&lt;&gt;"Serviço",0,IF(AND(AUTOEVENTO="Manual",$M83=1),0,IF(OFFSET(CRONOPLE!$F$14,$M83,AQ$13)="",10^12,OFFSET(CRONOPLE!$F$14,$M83,AQ$13))))</f>
        <v>2</v>
      </c>
      <c r="AR83" s="216">
        <f ca="1">IF($D83&lt;&gt;"Serviço",0,IF(AND(AUTOEVENTO="Manual",$M83=1),0,IF(OFFSET(CRONOPLE!$F$14,$M83,AR$13)="",10^12,OFFSET(CRONOPLE!$F$14,$M83,AR$13))))</f>
        <v>2</v>
      </c>
      <c r="AS83" s="216">
        <f ca="1">IF($D83&lt;&gt;"Serviço",0,IF(AND(AUTOEVENTO="Manual",$M83=1),0,IF(OFFSET(CRONOPLE!$F$14,$M83,AS$13)="",10^12,OFFSET(CRONOPLE!$F$14,$M83,AS$13))))</f>
        <v>2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hidden="1" x14ac:dyDescent="0.2">
      <c r="A84" s="9" t="str">
        <f t="shared" ca="1" si="17"/>
        <v>36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6</v>
      </c>
      <c r="N84" s="212" t="str">
        <f ca="1">IF($D84&lt;&gt;"Serviço","",IF(AUTOEVENTO="Manual",IF($A84=0,"&lt;-- defina o número do agrupador",OFFSET(EVENTOS!$D$14,$A84,0)),OFFSET($F$15,$A84,0)))</f>
        <v>ENSAIOS TECNOLÓGICOS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</v>
      </c>
      <c r="AN84" s="216">
        <f ca="1">IF($D84&lt;&gt;"Serviço",0,IF(AND(AUTOEVENTO="Manual",$M84=1),0,IF(OFFSET(CRONOPLE!$F$14,$M84,AN$13)="",10^12,OFFSET(CRONOPLE!$F$14,$M84,AN$13))))</f>
        <v>1</v>
      </c>
      <c r="AO84" s="216">
        <f ca="1">IF($D84&lt;&gt;"Serviço",0,IF(AND(AUTOEVENTO="Manual",$M84=1),0,IF(OFFSET(CRONOPLE!$F$14,$M84,AO$13)="",10^12,OFFSET(CRONOPLE!$F$14,$M84,AO$13))))</f>
        <v>1</v>
      </c>
      <c r="AP84" s="216">
        <f ca="1">IF($D84&lt;&gt;"Serviço",0,IF(AND(AUTOEVENTO="Manual",$M84=1),0,IF(OFFSET(CRONOPLE!$F$14,$M84,AP$13)="",10^12,OFFSET(CRONOPLE!$F$14,$M84,AP$13))))</f>
        <v>1</v>
      </c>
      <c r="AQ84" s="216">
        <f ca="1">IF($D84&lt;&gt;"Serviço",0,IF(AND(AUTOEVENTO="Manual",$M84=1),0,IF(OFFSET(CRONOPLE!$F$14,$M84,AQ$13)="",10^12,OFFSET(CRONOPLE!$F$14,$M84,AQ$13))))</f>
        <v>2</v>
      </c>
      <c r="AR84" s="216">
        <f ca="1">IF($D84&lt;&gt;"Serviço",0,IF(AND(AUTOEVENTO="Manual",$M84=1),0,IF(OFFSET(CRONOPLE!$F$14,$M84,AR$13)="",10^12,OFFSET(CRONOPLE!$F$14,$M84,AR$13))))</f>
        <v>2</v>
      </c>
      <c r="AS84" s="216">
        <f ca="1">IF($D84&lt;&gt;"Serviço",0,IF(AND(AUTOEVENTO="Manual",$M84=1),0,IF(OFFSET(CRONOPLE!$F$14,$M84,AS$13)="",10^12,OFFSET(CRONOPLE!$F$14,$M84,AS$13))))</f>
        <v>2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hidden="1" x14ac:dyDescent="0.2">
      <c r="A85" s="9" t="str">
        <f t="shared" ca="1" si="17"/>
        <v>36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6</v>
      </c>
      <c r="N85" s="212" t="str">
        <f ca="1">IF($D85&lt;&gt;"Serviço","",IF(AUTOEVENTO="Manual",IF($A85=0,"&lt;-- defina o número do agrupador",OFFSET(EVENTOS!$D$14,$A85,0)),OFFSET($F$15,$A85,0)))</f>
        <v>ENSAIOS TECNOLÓGICOS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</v>
      </c>
      <c r="AN85" s="216">
        <f ca="1">IF($D85&lt;&gt;"Serviço",0,IF(AND(AUTOEVENTO="Manual",$M85=1),0,IF(OFFSET(CRONOPLE!$F$14,$M85,AN$13)="",10^12,OFFSET(CRONOPLE!$F$14,$M85,AN$13))))</f>
        <v>1</v>
      </c>
      <c r="AO85" s="216">
        <f ca="1">IF($D85&lt;&gt;"Serviço",0,IF(AND(AUTOEVENTO="Manual",$M85=1),0,IF(OFFSET(CRONOPLE!$F$14,$M85,AO$13)="",10^12,OFFSET(CRONOPLE!$F$14,$M85,AO$13))))</f>
        <v>1</v>
      </c>
      <c r="AP85" s="216">
        <f ca="1">IF($D85&lt;&gt;"Serviço",0,IF(AND(AUTOEVENTO="Manual",$M85=1),0,IF(OFFSET(CRONOPLE!$F$14,$M85,AP$13)="",10^12,OFFSET(CRONOPLE!$F$14,$M85,AP$13))))</f>
        <v>1</v>
      </c>
      <c r="AQ85" s="216">
        <f ca="1">IF($D85&lt;&gt;"Serviço",0,IF(AND(AUTOEVENTO="Manual",$M85=1),0,IF(OFFSET(CRONOPLE!$F$14,$M85,AQ$13)="",10^12,OFFSET(CRONOPLE!$F$14,$M85,AQ$13))))</f>
        <v>2</v>
      </c>
      <c r="AR85" s="216">
        <f ca="1">IF($D85&lt;&gt;"Serviço",0,IF(AND(AUTOEVENTO="Manual",$M85=1),0,IF(OFFSET(CRONOPLE!$F$14,$M85,AR$13)="",10^12,OFFSET(CRONOPLE!$F$14,$M85,AR$13))))</f>
        <v>2</v>
      </c>
      <c r="AS85" s="216">
        <f ca="1">IF($D85&lt;&gt;"Serviço",0,IF(AND(AUTOEVENTO="Manual",$M85=1),0,IF(OFFSET(CRONOPLE!$F$14,$M85,AS$13)="",10^12,OFFSET(CRONOPLE!$F$14,$M85,AS$13))))</f>
        <v>2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hidden="1" x14ac:dyDescent="0.2">
      <c r="A86" s="9" t="str">
        <f t="shared" ca="1" si="17"/>
        <v>36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6</v>
      </c>
      <c r="N86" s="212" t="str">
        <f ca="1">IF($D86&lt;&gt;"Serviço","",IF(AUTOEVENTO="Manual",IF($A86=0,"&lt;-- defina o número do agrupador",OFFSET(EVENTOS!$D$14,$A86,0)),OFFSET($F$15,$A86,0)))</f>
        <v>ENSAIOS TECNOLÓGICOS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</v>
      </c>
      <c r="AN86" s="216">
        <f ca="1">IF($D86&lt;&gt;"Serviço",0,IF(AND(AUTOEVENTO="Manual",$M86=1),0,IF(OFFSET(CRONOPLE!$F$14,$M86,AN$13)="",10^12,OFFSET(CRONOPLE!$F$14,$M86,AN$13))))</f>
        <v>1</v>
      </c>
      <c r="AO86" s="216">
        <f ca="1">IF($D86&lt;&gt;"Serviço",0,IF(AND(AUTOEVENTO="Manual",$M86=1),0,IF(OFFSET(CRONOPLE!$F$14,$M86,AO$13)="",10^12,OFFSET(CRONOPLE!$F$14,$M86,AO$13))))</f>
        <v>1</v>
      </c>
      <c r="AP86" s="216">
        <f ca="1">IF($D86&lt;&gt;"Serviço",0,IF(AND(AUTOEVENTO="Manual",$M86=1),0,IF(OFFSET(CRONOPLE!$F$14,$M86,AP$13)="",10^12,OFFSET(CRONOPLE!$F$14,$M86,AP$13))))</f>
        <v>1</v>
      </c>
      <c r="AQ86" s="216">
        <f ca="1">IF($D86&lt;&gt;"Serviço",0,IF(AND(AUTOEVENTO="Manual",$M86=1),0,IF(OFFSET(CRONOPLE!$F$14,$M86,AQ$13)="",10^12,OFFSET(CRONOPLE!$F$14,$M86,AQ$13))))</f>
        <v>2</v>
      </c>
      <c r="AR86" s="216">
        <f ca="1">IF($D86&lt;&gt;"Serviço",0,IF(AND(AUTOEVENTO="Manual",$M86=1),0,IF(OFFSET(CRONOPLE!$F$14,$M86,AR$13)="",10^12,OFFSET(CRONOPLE!$F$14,$M86,AR$13))))</f>
        <v>2</v>
      </c>
      <c r="AS86" s="216">
        <f ca="1">IF($D86&lt;&gt;"Serviço",0,IF(AND(AUTOEVENTO="Manual",$M86=1),0,IF(OFFSET(CRONOPLE!$F$14,$M86,AS$13)="",10^12,OFFSET(CRONOPLE!$F$14,$M86,AS$13))))</f>
        <v>2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hidden="1" x14ac:dyDescent="0.2">
      <c r="A87" s="9" t="str">
        <f t="shared" ca="1" si="17"/>
        <v>36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6</v>
      </c>
      <c r="N87" s="212" t="str">
        <f ca="1">IF($D87&lt;&gt;"Serviço","",IF(AUTOEVENTO="Manual",IF($A87=0,"&lt;-- defina o número do agrupador",OFFSET(EVENTOS!$D$14,$A87,0)),OFFSET($F$15,$A87,0)))</f>
        <v>ENSAIOS TECNOLÓGICOS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</v>
      </c>
      <c r="AN87" s="216">
        <f ca="1">IF($D87&lt;&gt;"Serviço",0,IF(AND(AUTOEVENTO="Manual",$M87=1),0,IF(OFFSET(CRONOPLE!$F$14,$M87,AN$13)="",10^12,OFFSET(CRONOPLE!$F$14,$M87,AN$13))))</f>
        <v>1</v>
      </c>
      <c r="AO87" s="216">
        <f ca="1">IF($D87&lt;&gt;"Serviço",0,IF(AND(AUTOEVENTO="Manual",$M87=1),0,IF(OFFSET(CRONOPLE!$F$14,$M87,AO$13)="",10^12,OFFSET(CRONOPLE!$F$14,$M87,AO$13))))</f>
        <v>1</v>
      </c>
      <c r="AP87" s="216">
        <f ca="1">IF($D87&lt;&gt;"Serviço",0,IF(AND(AUTOEVENTO="Manual",$M87=1),0,IF(OFFSET(CRONOPLE!$F$14,$M87,AP$13)="",10^12,OFFSET(CRONOPLE!$F$14,$M87,AP$13))))</f>
        <v>1</v>
      </c>
      <c r="AQ87" s="216">
        <f ca="1">IF($D87&lt;&gt;"Serviço",0,IF(AND(AUTOEVENTO="Manual",$M87=1),0,IF(OFFSET(CRONOPLE!$F$14,$M87,AQ$13)="",10^12,OFFSET(CRONOPLE!$F$14,$M87,AQ$13))))</f>
        <v>2</v>
      </c>
      <c r="AR87" s="216">
        <f ca="1">IF($D87&lt;&gt;"Serviço",0,IF(AND(AUTOEVENTO="Manual",$M87=1),0,IF(OFFSET(CRONOPLE!$F$14,$M87,AR$13)="",10^12,OFFSET(CRONOPLE!$F$14,$M87,AR$13))))</f>
        <v>2</v>
      </c>
      <c r="AS87" s="216">
        <f ca="1">IF($D87&lt;&gt;"Serviço",0,IF(AND(AUTOEVENTO="Manual",$M87=1),0,IF(OFFSET(CRONOPLE!$F$14,$M87,AS$13)="",10^12,OFFSET(CRONOPLE!$F$14,$M87,AS$13))))</f>
        <v>2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hidden="1" x14ac:dyDescent="0.2">
      <c r="A88" s="9" t="str">
        <f t="shared" ca="1" si="17"/>
        <v>36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6</v>
      </c>
      <c r="N88" s="212" t="str">
        <f ca="1">IF($D88&lt;&gt;"Serviço","",IF(AUTOEVENTO="Manual",IF($A88=0,"&lt;-- defina o número do agrupador",OFFSET(EVENTOS!$D$14,$A88,0)),OFFSET($F$15,$A88,0)))</f>
        <v>ENSAIOS TECNOLÓGICOS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</v>
      </c>
      <c r="AN88" s="216">
        <f ca="1">IF($D88&lt;&gt;"Serviço",0,IF(AND(AUTOEVENTO="Manual",$M88=1),0,IF(OFFSET(CRONOPLE!$F$14,$M88,AN$13)="",10^12,OFFSET(CRONOPLE!$F$14,$M88,AN$13))))</f>
        <v>1</v>
      </c>
      <c r="AO88" s="216">
        <f ca="1">IF($D88&lt;&gt;"Serviço",0,IF(AND(AUTOEVENTO="Manual",$M88=1),0,IF(OFFSET(CRONOPLE!$F$14,$M88,AO$13)="",10^12,OFFSET(CRONOPLE!$F$14,$M88,AO$13))))</f>
        <v>1</v>
      </c>
      <c r="AP88" s="216">
        <f ca="1">IF($D88&lt;&gt;"Serviço",0,IF(AND(AUTOEVENTO="Manual",$M88=1),0,IF(OFFSET(CRONOPLE!$F$14,$M88,AP$13)="",10^12,OFFSET(CRONOPLE!$F$14,$M88,AP$13))))</f>
        <v>1</v>
      </c>
      <c r="AQ88" s="216">
        <f ca="1">IF($D88&lt;&gt;"Serviço",0,IF(AND(AUTOEVENTO="Manual",$M88=1),0,IF(OFFSET(CRONOPLE!$F$14,$M88,AQ$13)="",10^12,OFFSET(CRONOPLE!$F$14,$M88,AQ$13))))</f>
        <v>2</v>
      </c>
      <c r="AR88" s="216">
        <f ca="1">IF($D88&lt;&gt;"Serviço",0,IF(AND(AUTOEVENTO="Manual",$M88=1),0,IF(OFFSET(CRONOPLE!$F$14,$M88,AR$13)="",10^12,OFFSET(CRONOPLE!$F$14,$M88,AR$13))))</f>
        <v>2</v>
      </c>
      <c r="AS88" s="216">
        <f ca="1">IF($D88&lt;&gt;"Serviço",0,IF(AND(AUTOEVENTO="Manual",$M88=1),0,IF(OFFSET(CRONOPLE!$F$14,$M88,AS$13)="",10^12,OFFSET(CRONOPLE!$F$14,$M88,AS$13))))</f>
        <v>2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hidden="1" x14ac:dyDescent="0.2">
      <c r="A89" s="9" t="str">
        <f t="shared" ca="1" si="17"/>
        <v>36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6</v>
      </c>
      <c r="N89" s="212" t="str">
        <f ca="1">IF($D89&lt;&gt;"Serviço","",IF(AUTOEVENTO="Manual",IF($A89=0,"&lt;-- defina o número do agrupador",OFFSET(EVENTOS!$D$14,$A89,0)),OFFSET($F$15,$A89,0)))</f>
        <v>ENSAIOS TECNOLÓGICOS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</v>
      </c>
      <c r="AN89" s="216">
        <f ca="1">IF($D89&lt;&gt;"Serviço",0,IF(AND(AUTOEVENTO="Manual",$M89=1),0,IF(OFFSET(CRONOPLE!$F$14,$M89,AN$13)="",10^12,OFFSET(CRONOPLE!$F$14,$M89,AN$13))))</f>
        <v>1</v>
      </c>
      <c r="AO89" s="216">
        <f ca="1">IF($D89&lt;&gt;"Serviço",0,IF(AND(AUTOEVENTO="Manual",$M89=1),0,IF(OFFSET(CRONOPLE!$F$14,$M89,AO$13)="",10^12,OFFSET(CRONOPLE!$F$14,$M89,AO$13))))</f>
        <v>1</v>
      </c>
      <c r="AP89" s="216">
        <f ca="1">IF($D89&lt;&gt;"Serviço",0,IF(AND(AUTOEVENTO="Manual",$M89=1),0,IF(OFFSET(CRONOPLE!$F$14,$M89,AP$13)="",10^12,OFFSET(CRONOPLE!$F$14,$M89,AP$13))))</f>
        <v>1</v>
      </c>
      <c r="AQ89" s="216">
        <f ca="1">IF($D89&lt;&gt;"Serviço",0,IF(AND(AUTOEVENTO="Manual",$M89=1),0,IF(OFFSET(CRONOPLE!$F$14,$M89,AQ$13)="",10^12,OFFSET(CRONOPLE!$F$14,$M89,AQ$13))))</f>
        <v>2</v>
      </c>
      <c r="AR89" s="216">
        <f ca="1">IF($D89&lt;&gt;"Serviço",0,IF(AND(AUTOEVENTO="Manual",$M89=1),0,IF(OFFSET(CRONOPLE!$F$14,$M89,AR$13)="",10^12,OFFSET(CRONOPLE!$F$14,$M89,AR$13))))</f>
        <v>2</v>
      </c>
      <c r="AS89" s="216">
        <f ca="1">IF($D89&lt;&gt;"Serviço",0,IF(AND(AUTOEVENTO="Manual",$M89=1),0,IF(OFFSET(CRONOPLE!$F$14,$M89,AS$13)="",10^12,OFFSET(CRONOPLE!$F$14,$M89,AS$13))))</f>
        <v>2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hidden="1" x14ac:dyDescent="0.2">
      <c r="A90" s="9" t="str">
        <f t="shared" ca="1" si="17"/>
        <v>36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6</v>
      </c>
      <c r="N90" s="212" t="str">
        <f ca="1">IF($D90&lt;&gt;"Serviço","",IF(AUTOEVENTO="Manual",IF($A90=0,"&lt;-- defina o número do agrupador",OFFSET(EVENTOS!$D$14,$A90,0)),OFFSET($F$15,$A90,0)))</f>
        <v>ENSAIOS TECNOLÓGICOS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</v>
      </c>
      <c r="AN90" s="216">
        <f ca="1">IF($D90&lt;&gt;"Serviço",0,IF(AND(AUTOEVENTO="Manual",$M90=1),0,IF(OFFSET(CRONOPLE!$F$14,$M90,AN$13)="",10^12,OFFSET(CRONOPLE!$F$14,$M90,AN$13))))</f>
        <v>1</v>
      </c>
      <c r="AO90" s="216">
        <f ca="1">IF($D90&lt;&gt;"Serviço",0,IF(AND(AUTOEVENTO="Manual",$M90=1),0,IF(OFFSET(CRONOPLE!$F$14,$M90,AO$13)="",10^12,OFFSET(CRONOPLE!$F$14,$M90,AO$13))))</f>
        <v>1</v>
      </c>
      <c r="AP90" s="216">
        <f ca="1">IF($D90&lt;&gt;"Serviço",0,IF(AND(AUTOEVENTO="Manual",$M90=1),0,IF(OFFSET(CRONOPLE!$F$14,$M90,AP$13)="",10^12,OFFSET(CRONOPLE!$F$14,$M90,AP$13))))</f>
        <v>1</v>
      </c>
      <c r="AQ90" s="216">
        <f ca="1">IF($D90&lt;&gt;"Serviço",0,IF(AND(AUTOEVENTO="Manual",$M90=1),0,IF(OFFSET(CRONOPLE!$F$14,$M90,AQ$13)="",10^12,OFFSET(CRONOPLE!$F$14,$M90,AQ$13))))</f>
        <v>2</v>
      </c>
      <c r="AR90" s="216">
        <f ca="1">IF($D90&lt;&gt;"Serviço",0,IF(AND(AUTOEVENTO="Manual",$M90=1),0,IF(OFFSET(CRONOPLE!$F$14,$M90,AR$13)="",10^12,OFFSET(CRONOPLE!$F$14,$M90,AR$13))))</f>
        <v>2</v>
      </c>
      <c r="AS90" s="216">
        <f ca="1">IF($D90&lt;&gt;"Serviço",0,IF(AND(AUTOEVENTO="Manual",$M90=1),0,IF(OFFSET(CRONOPLE!$F$14,$M90,AS$13)="",10^12,OFFSET(CRONOPLE!$F$14,$M90,AS$13))))</f>
        <v>2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hidden="1" x14ac:dyDescent="0.2">
      <c r="A91" s="9" t="str">
        <f t="shared" ca="1" si="17"/>
        <v>36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6</v>
      </c>
      <c r="N91" s="212" t="str">
        <f ca="1">IF($D91&lt;&gt;"Serviço","",IF(AUTOEVENTO="Manual",IF($A91=0,"&lt;-- defina o número do agrupador",OFFSET(EVENTOS!$D$14,$A91,0)),OFFSET($F$15,$A91,0)))</f>
        <v>ENSAIOS TECNOLÓGICOS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</v>
      </c>
      <c r="AN91" s="216">
        <f ca="1">IF($D91&lt;&gt;"Serviço",0,IF(AND(AUTOEVENTO="Manual",$M91=1),0,IF(OFFSET(CRONOPLE!$F$14,$M91,AN$13)="",10^12,OFFSET(CRONOPLE!$F$14,$M91,AN$13))))</f>
        <v>1</v>
      </c>
      <c r="AO91" s="216">
        <f ca="1">IF($D91&lt;&gt;"Serviço",0,IF(AND(AUTOEVENTO="Manual",$M91=1),0,IF(OFFSET(CRONOPLE!$F$14,$M91,AO$13)="",10^12,OFFSET(CRONOPLE!$F$14,$M91,AO$13))))</f>
        <v>1</v>
      </c>
      <c r="AP91" s="216">
        <f ca="1">IF($D91&lt;&gt;"Serviço",0,IF(AND(AUTOEVENTO="Manual",$M91=1),0,IF(OFFSET(CRONOPLE!$F$14,$M91,AP$13)="",10^12,OFFSET(CRONOPLE!$F$14,$M91,AP$13))))</f>
        <v>1</v>
      </c>
      <c r="AQ91" s="216">
        <f ca="1">IF($D91&lt;&gt;"Serviço",0,IF(AND(AUTOEVENTO="Manual",$M91=1),0,IF(OFFSET(CRONOPLE!$F$14,$M91,AQ$13)="",10^12,OFFSET(CRONOPLE!$F$14,$M91,AQ$13))))</f>
        <v>2</v>
      </c>
      <c r="AR91" s="216">
        <f ca="1">IF($D91&lt;&gt;"Serviço",0,IF(AND(AUTOEVENTO="Manual",$M91=1),0,IF(OFFSET(CRONOPLE!$F$14,$M91,AR$13)="",10^12,OFFSET(CRONOPLE!$F$14,$M91,AR$13))))</f>
        <v>2</v>
      </c>
      <c r="AS91" s="216">
        <f ca="1">IF($D91&lt;&gt;"Serviço",0,IF(AND(AUTOEVENTO="Manual",$M91=1),0,IF(OFFSET(CRONOPLE!$F$14,$M91,AS$13)="",10^12,OFFSET(CRONOPLE!$F$14,$M91,AS$13))))</f>
        <v>2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hidden="1" x14ac:dyDescent="0.2">
      <c r="A92" s="9" t="str">
        <f t="shared" ca="1" si="17"/>
        <v>36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6</v>
      </c>
      <c r="N92" s="212" t="str">
        <f ca="1">IF($D92&lt;&gt;"Serviço","",IF(AUTOEVENTO="Manual",IF($A92=0,"&lt;-- defina o número do agrupador",OFFSET(EVENTOS!$D$14,$A92,0)),OFFSET($F$15,$A92,0)))</f>
        <v>ENSAIOS TECNOLÓGICOS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</v>
      </c>
      <c r="AN92" s="216">
        <f ca="1">IF($D92&lt;&gt;"Serviço",0,IF(AND(AUTOEVENTO="Manual",$M92=1),0,IF(OFFSET(CRONOPLE!$F$14,$M92,AN$13)="",10^12,OFFSET(CRONOPLE!$F$14,$M92,AN$13))))</f>
        <v>1</v>
      </c>
      <c r="AO92" s="216">
        <f ca="1">IF($D92&lt;&gt;"Serviço",0,IF(AND(AUTOEVENTO="Manual",$M92=1),0,IF(OFFSET(CRONOPLE!$F$14,$M92,AO$13)="",10^12,OFFSET(CRONOPLE!$F$14,$M92,AO$13))))</f>
        <v>1</v>
      </c>
      <c r="AP92" s="216">
        <f ca="1">IF($D92&lt;&gt;"Serviço",0,IF(AND(AUTOEVENTO="Manual",$M92=1),0,IF(OFFSET(CRONOPLE!$F$14,$M92,AP$13)="",10^12,OFFSET(CRONOPLE!$F$14,$M92,AP$13))))</f>
        <v>1</v>
      </c>
      <c r="AQ92" s="216">
        <f ca="1">IF($D92&lt;&gt;"Serviço",0,IF(AND(AUTOEVENTO="Manual",$M92=1),0,IF(OFFSET(CRONOPLE!$F$14,$M92,AQ$13)="",10^12,OFFSET(CRONOPLE!$F$14,$M92,AQ$13))))</f>
        <v>2</v>
      </c>
      <c r="AR92" s="216">
        <f ca="1">IF($D92&lt;&gt;"Serviço",0,IF(AND(AUTOEVENTO="Manual",$M92=1),0,IF(OFFSET(CRONOPLE!$F$14,$M92,AR$13)="",10^12,OFFSET(CRONOPLE!$F$14,$M92,AR$13))))</f>
        <v>2</v>
      </c>
      <c r="AS92" s="216">
        <f ca="1">IF($D92&lt;&gt;"Serviço",0,IF(AND(AUTOEVENTO="Manual",$M92=1),0,IF(OFFSET(CRONOPLE!$F$14,$M92,AS$13)="",10^12,OFFSET(CRONOPLE!$F$14,$M92,AS$13))))</f>
        <v>2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hidden="1" x14ac:dyDescent="0.2">
      <c r="A93" s="9" t="str">
        <f t="shared" ca="1" si="17"/>
        <v>36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6</v>
      </c>
      <c r="N93" s="212" t="str">
        <f ca="1">IF($D93&lt;&gt;"Serviço","",IF(AUTOEVENTO="Manual",IF($A93=0,"&lt;-- defina o número do agrupador",OFFSET(EVENTOS!$D$14,$A93,0)),OFFSET($F$15,$A93,0)))</f>
        <v>ENSAIOS TECNOLÓGICOS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</v>
      </c>
      <c r="AN93" s="216">
        <f ca="1">IF($D93&lt;&gt;"Serviço",0,IF(AND(AUTOEVENTO="Manual",$M93=1),0,IF(OFFSET(CRONOPLE!$F$14,$M93,AN$13)="",10^12,OFFSET(CRONOPLE!$F$14,$M93,AN$13))))</f>
        <v>1</v>
      </c>
      <c r="AO93" s="216">
        <f ca="1">IF($D93&lt;&gt;"Serviço",0,IF(AND(AUTOEVENTO="Manual",$M93=1),0,IF(OFFSET(CRONOPLE!$F$14,$M93,AO$13)="",10^12,OFFSET(CRONOPLE!$F$14,$M93,AO$13))))</f>
        <v>1</v>
      </c>
      <c r="AP93" s="216">
        <f ca="1">IF($D93&lt;&gt;"Serviço",0,IF(AND(AUTOEVENTO="Manual",$M93=1),0,IF(OFFSET(CRONOPLE!$F$14,$M93,AP$13)="",10^12,OFFSET(CRONOPLE!$F$14,$M93,AP$13))))</f>
        <v>1</v>
      </c>
      <c r="AQ93" s="216">
        <f ca="1">IF($D93&lt;&gt;"Serviço",0,IF(AND(AUTOEVENTO="Manual",$M93=1),0,IF(OFFSET(CRONOPLE!$F$14,$M93,AQ$13)="",10^12,OFFSET(CRONOPLE!$F$14,$M93,AQ$13))))</f>
        <v>2</v>
      </c>
      <c r="AR93" s="216">
        <f ca="1">IF($D93&lt;&gt;"Serviço",0,IF(AND(AUTOEVENTO="Manual",$M93=1),0,IF(OFFSET(CRONOPLE!$F$14,$M93,AR$13)="",10^12,OFFSET(CRONOPLE!$F$14,$M93,AR$13))))</f>
        <v>2</v>
      </c>
      <c r="AS93" s="216">
        <f ca="1">IF($D93&lt;&gt;"Serviço",0,IF(AND(AUTOEVENTO="Manual",$M93=1),0,IF(OFFSET(CRONOPLE!$F$14,$M93,AS$13)="",10^12,OFFSET(CRONOPLE!$F$14,$M93,AS$13))))</f>
        <v>2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hidden="1" x14ac:dyDescent="0.2">
      <c r="A94" s="9" t="str">
        <f t="shared" ca="1" si="17"/>
        <v>36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6</v>
      </c>
      <c r="N94" s="212" t="str">
        <f ca="1">IF($D94&lt;&gt;"Serviço","",IF(AUTOEVENTO="Manual",IF($A94=0,"&lt;-- defina o número do agrupador",OFFSET(EVENTOS!$D$14,$A94,0)),OFFSET($F$15,$A94,0)))</f>
        <v>ENSAIOS TECNOLÓGICOS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</v>
      </c>
      <c r="AN94" s="216">
        <f ca="1">IF($D94&lt;&gt;"Serviço",0,IF(AND(AUTOEVENTO="Manual",$M94=1),0,IF(OFFSET(CRONOPLE!$F$14,$M94,AN$13)="",10^12,OFFSET(CRONOPLE!$F$14,$M94,AN$13))))</f>
        <v>1</v>
      </c>
      <c r="AO94" s="216">
        <f ca="1">IF($D94&lt;&gt;"Serviço",0,IF(AND(AUTOEVENTO="Manual",$M94=1),0,IF(OFFSET(CRONOPLE!$F$14,$M94,AO$13)="",10^12,OFFSET(CRONOPLE!$F$14,$M94,AO$13))))</f>
        <v>1</v>
      </c>
      <c r="AP94" s="216">
        <f ca="1">IF($D94&lt;&gt;"Serviço",0,IF(AND(AUTOEVENTO="Manual",$M94=1),0,IF(OFFSET(CRONOPLE!$F$14,$M94,AP$13)="",10^12,OFFSET(CRONOPLE!$F$14,$M94,AP$13))))</f>
        <v>1</v>
      </c>
      <c r="AQ94" s="216">
        <f ca="1">IF($D94&lt;&gt;"Serviço",0,IF(AND(AUTOEVENTO="Manual",$M94=1),0,IF(OFFSET(CRONOPLE!$F$14,$M94,AQ$13)="",10^12,OFFSET(CRONOPLE!$F$14,$M94,AQ$13))))</f>
        <v>2</v>
      </c>
      <c r="AR94" s="216">
        <f ca="1">IF($D94&lt;&gt;"Serviço",0,IF(AND(AUTOEVENTO="Manual",$M94=1),0,IF(OFFSET(CRONOPLE!$F$14,$M94,AR$13)="",10^12,OFFSET(CRONOPLE!$F$14,$M94,AR$13))))</f>
        <v>2</v>
      </c>
      <c r="AS94" s="216">
        <f ca="1">IF($D94&lt;&gt;"Serviço",0,IF(AND(AUTOEVENTO="Manual",$M94=1),0,IF(OFFSET(CRONOPLE!$F$14,$M94,AS$13)="",10^12,OFFSET(CRONOPLE!$F$14,$M94,AS$13))))</f>
        <v>2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hidden="1" x14ac:dyDescent="0.2">
      <c r="A95" s="9" t="str">
        <f t="shared" ca="1" si="17"/>
        <v>36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(Sem Código)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6</v>
      </c>
      <c r="N95" s="212" t="str">
        <f ca="1">IF($D95&lt;&gt;"Serviço","",IF(AUTOEVENTO="Manual",IF($A95=0,"&lt;-- defina o número do agrupador",OFFSET(EVENTOS!$D$14,$A95,0)),OFFSET($F$15,$A95,0)))</f>
        <v>ENSAIOS TECNOLÓGICOS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</v>
      </c>
      <c r="AN95" s="216">
        <f ca="1">IF($D95&lt;&gt;"Serviço",0,IF(AND(AUTOEVENTO="Manual",$M95=1),0,IF(OFFSET(CRONOPLE!$F$14,$M95,AN$13)="",10^12,OFFSET(CRONOPLE!$F$14,$M95,AN$13))))</f>
        <v>1</v>
      </c>
      <c r="AO95" s="216">
        <f ca="1">IF($D95&lt;&gt;"Serviço",0,IF(AND(AUTOEVENTO="Manual",$M95=1),0,IF(OFFSET(CRONOPLE!$F$14,$M95,AO$13)="",10^12,OFFSET(CRONOPLE!$F$14,$M95,AO$13))))</f>
        <v>1</v>
      </c>
      <c r="AP95" s="216">
        <f ca="1">IF($D95&lt;&gt;"Serviço",0,IF(AND(AUTOEVENTO="Manual",$M95=1),0,IF(OFFSET(CRONOPLE!$F$14,$M95,AP$13)="",10^12,OFFSET(CRONOPLE!$F$14,$M95,AP$13))))</f>
        <v>1</v>
      </c>
      <c r="AQ95" s="216">
        <f ca="1">IF($D95&lt;&gt;"Serviço",0,IF(AND(AUTOEVENTO="Manual",$M95=1),0,IF(OFFSET(CRONOPLE!$F$14,$M95,AQ$13)="",10^12,OFFSET(CRONOPLE!$F$14,$M95,AQ$13))))</f>
        <v>2</v>
      </c>
      <c r="AR95" s="216">
        <f ca="1">IF($D95&lt;&gt;"Serviço",0,IF(AND(AUTOEVENTO="Manual",$M95=1),0,IF(OFFSET(CRONOPLE!$F$14,$M95,AR$13)="",10^12,OFFSET(CRONOPLE!$F$14,$M95,AR$13))))</f>
        <v>2</v>
      </c>
      <c r="AS95" s="216">
        <f ca="1">IF($D95&lt;&gt;"Serviço",0,IF(AND(AUTOEVENTO="Manual",$M95=1),0,IF(OFFSET(CRONOPLE!$F$14,$M95,AS$13)="",10^12,OFFSET(CRONOPLE!$F$14,$M95,AS$13))))</f>
        <v>2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hidden="1" x14ac:dyDescent="0.2">
      <c r="A96" s="9" t="str">
        <f t="shared" ca="1" si="17"/>
        <v>36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(Sem Código)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6</v>
      </c>
      <c r="N96" s="212" t="str">
        <f ca="1">IF($D96&lt;&gt;"Serviço","",IF(AUTOEVENTO="Manual",IF($A96=0,"&lt;-- defina o número do agrupador",OFFSET(EVENTOS!$D$14,$A96,0)),OFFSET($F$15,$A96,0)))</f>
        <v>ENSAIOS TECNOLÓGICOS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</v>
      </c>
      <c r="AN96" s="216">
        <f ca="1">IF($D96&lt;&gt;"Serviço",0,IF(AND(AUTOEVENTO="Manual",$M96=1),0,IF(OFFSET(CRONOPLE!$F$14,$M96,AN$13)="",10^12,OFFSET(CRONOPLE!$F$14,$M96,AN$13))))</f>
        <v>1</v>
      </c>
      <c r="AO96" s="216">
        <f ca="1">IF($D96&lt;&gt;"Serviço",0,IF(AND(AUTOEVENTO="Manual",$M96=1),0,IF(OFFSET(CRONOPLE!$F$14,$M96,AO$13)="",10^12,OFFSET(CRONOPLE!$F$14,$M96,AO$13))))</f>
        <v>1</v>
      </c>
      <c r="AP96" s="216">
        <f ca="1">IF($D96&lt;&gt;"Serviço",0,IF(AND(AUTOEVENTO="Manual",$M96=1),0,IF(OFFSET(CRONOPLE!$F$14,$M96,AP$13)="",10^12,OFFSET(CRONOPLE!$F$14,$M96,AP$13))))</f>
        <v>1</v>
      </c>
      <c r="AQ96" s="216">
        <f ca="1">IF($D96&lt;&gt;"Serviço",0,IF(AND(AUTOEVENTO="Manual",$M96=1),0,IF(OFFSET(CRONOPLE!$F$14,$M96,AQ$13)="",10^12,OFFSET(CRONOPLE!$F$14,$M96,AQ$13))))</f>
        <v>2</v>
      </c>
      <c r="AR96" s="216">
        <f ca="1">IF($D96&lt;&gt;"Serviço",0,IF(AND(AUTOEVENTO="Manual",$M96=1),0,IF(OFFSET(CRONOPLE!$F$14,$M96,AR$13)="",10^12,OFFSET(CRONOPLE!$F$14,$M96,AR$13))))</f>
        <v>2</v>
      </c>
      <c r="AS96" s="216">
        <f ca="1">IF($D96&lt;&gt;"Serviço",0,IF(AND(AUTOEVENTO="Manual",$M96=1),0,IF(OFFSET(CRONOPLE!$F$14,$M96,AS$13)="",10^12,OFFSET(CRONOPLE!$F$14,$M96,AS$13))))</f>
        <v>2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hidden="1" x14ac:dyDescent="0.2">
      <c r="A97" s="9" t="str">
        <f t="shared" ca="1" si="17"/>
        <v>36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(Sem Código)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6</v>
      </c>
      <c r="N97" s="212" t="str">
        <f ca="1">IF($D97&lt;&gt;"Serviço","",IF(AUTOEVENTO="Manual",IF($A97=0,"&lt;-- defina o número do agrupador",OFFSET(EVENTOS!$D$14,$A97,0)),OFFSET($F$15,$A97,0)))</f>
        <v>ENSAIOS TECNOLÓGICOS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</v>
      </c>
      <c r="AN97" s="216">
        <f ca="1">IF($D97&lt;&gt;"Serviço",0,IF(AND(AUTOEVENTO="Manual",$M97=1),0,IF(OFFSET(CRONOPLE!$F$14,$M97,AN$13)="",10^12,OFFSET(CRONOPLE!$F$14,$M97,AN$13))))</f>
        <v>1</v>
      </c>
      <c r="AO97" s="216">
        <f ca="1">IF($D97&lt;&gt;"Serviço",0,IF(AND(AUTOEVENTO="Manual",$M97=1),0,IF(OFFSET(CRONOPLE!$F$14,$M97,AO$13)="",10^12,OFFSET(CRONOPLE!$F$14,$M97,AO$13))))</f>
        <v>1</v>
      </c>
      <c r="AP97" s="216">
        <f ca="1">IF($D97&lt;&gt;"Serviço",0,IF(AND(AUTOEVENTO="Manual",$M97=1),0,IF(OFFSET(CRONOPLE!$F$14,$M97,AP$13)="",10^12,OFFSET(CRONOPLE!$F$14,$M97,AP$13))))</f>
        <v>1</v>
      </c>
      <c r="AQ97" s="216">
        <f ca="1">IF($D97&lt;&gt;"Serviço",0,IF(AND(AUTOEVENTO="Manual",$M97=1),0,IF(OFFSET(CRONOPLE!$F$14,$M97,AQ$13)="",10^12,OFFSET(CRONOPLE!$F$14,$M97,AQ$13))))</f>
        <v>2</v>
      </c>
      <c r="AR97" s="216">
        <f ca="1">IF($D97&lt;&gt;"Serviço",0,IF(AND(AUTOEVENTO="Manual",$M97=1),0,IF(OFFSET(CRONOPLE!$F$14,$M97,AR$13)="",10^12,OFFSET(CRONOPLE!$F$14,$M97,AR$13))))</f>
        <v>2</v>
      </c>
      <c r="AS97" s="216">
        <f ca="1">IF($D97&lt;&gt;"Serviço",0,IF(AND(AUTOEVENTO="Manual",$M97=1),0,IF(OFFSET(CRONOPLE!$F$14,$M97,AS$13)="",10^12,OFFSET(CRONOPLE!$F$14,$M97,AS$13))))</f>
        <v>2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hidden="1" x14ac:dyDescent="0.2">
      <c r="A98" s="9" t="str">
        <f t="shared" ca="1" si="17"/>
        <v>36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(Sem Código)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6</v>
      </c>
      <c r="N98" s="212" t="str">
        <f ca="1">IF($D98&lt;&gt;"Serviço","",IF(AUTOEVENTO="Manual",IF($A98=0,"&lt;-- defina o número do agrupador",OFFSET(EVENTOS!$D$14,$A98,0)),OFFSET($F$15,$A98,0)))</f>
        <v>ENSAIOS TECNOLÓGICOS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</v>
      </c>
      <c r="AN98" s="216">
        <f ca="1">IF($D98&lt;&gt;"Serviço",0,IF(AND(AUTOEVENTO="Manual",$M98=1),0,IF(OFFSET(CRONOPLE!$F$14,$M98,AN$13)="",10^12,OFFSET(CRONOPLE!$F$14,$M98,AN$13))))</f>
        <v>1</v>
      </c>
      <c r="AO98" s="216">
        <f ca="1">IF($D98&lt;&gt;"Serviço",0,IF(AND(AUTOEVENTO="Manual",$M98=1),0,IF(OFFSET(CRONOPLE!$F$14,$M98,AO$13)="",10^12,OFFSET(CRONOPLE!$F$14,$M98,AO$13))))</f>
        <v>1</v>
      </c>
      <c r="AP98" s="216">
        <f ca="1">IF($D98&lt;&gt;"Serviço",0,IF(AND(AUTOEVENTO="Manual",$M98=1),0,IF(OFFSET(CRONOPLE!$F$14,$M98,AP$13)="",10^12,OFFSET(CRONOPLE!$F$14,$M98,AP$13))))</f>
        <v>1</v>
      </c>
      <c r="AQ98" s="216">
        <f ca="1">IF($D98&lt;&gt;"Serviço",0,IF(AND(AUTOEVENTO="Manual",$M98=1),0,IF(OFFSET(CRONOPLE!$F$14,$M98,AQ$13)="",10^12,OFFSET(CRONOPLE!$F$14,$M98,AQ$13))))</f>
        <v>2</v>
      </c>
      <c r="AR98" s="216">
        <f ca="1">IF($D98&lt;&gt;"Serviço",0,IF(AND(AUTOEVENTO="Manual",$M98=1),0,IF(OFFSET(CRONOPLE!$F$14,$M98,AR$13)="",10^12,OFFSET(CRONOPLE!$F$14,$M98,AR$13))))</f>
        <v>2</v>
      </c>
      <c r="AS98" s="216">
        <f ca="1">IF($D98&lt;&gt;"Serviço",0,IF(AND(AUTOEVENTO="Manual",$M98=1),0,IF(OFFSET(CRONOPLE!$F$14,$M98,AS$13)="",10^12,OFFSET(CRONOPLE!$F$14,$M98,AS$13))))</f>
        <v>2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hidden="1" x14ac:dyDescent="0.2">
      <c r="A99" s="9" t="str">
        <f t="shared" ca="1" si="17"/>
        <v>36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(Sem Código)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6</v>
      </c>
      <c r="N99" s="212" t="str">
        <f ca="1">IF($D99&lt;&gt;"Serviço","",IF(AUTOEVENTO="Manual",IF($A99=0,"&lt;-- defina o número do agrupador",OFFSET(EVENTOS!$D$14,$A99,0)),OFFSET($F$15,$A99,0)))</f>
        <v>ENSAIOS TECNOLÓGICOS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</v>
      </c>
      <c r="AN99" s="216">
        <f ca="1">IF($D99&lt;&gt;"Serviço",0,IF(AND(AUTOEVENTO="Manual",$M99=1),0,IF(OFFSET(CRONOPLE!$F$14,$M99,AN$13)="",10^12,OFFSET(CRONOPLE!$F$14,$M99,AN$13))))</f>
        <v>1</v>
      </c>
      <c r="AO99" s="216">
        <f ca="1">IF($D99&lt;&gt;"Serviço",0,IF(AND(AUTOEVENTO="Manual",$M99=1),0,IF(OFFSET(CRONOPLE!$F$14,$M99,AO$13)="",10^12,OFFSET(CRONOPLE!$F$14,$M99,AO$13))))</f>
        <v>1</v>
      </c>
      <c r="AP99" s="216">
        <f ca="1">IF($D99&lt;&gt;"Serviço",0,IF(AND(AUTOEVENTO="Manual",$M99=1),0,IF(OFFSET(CRONOPLE!$F$14,$M99,AP$13)="",10^12,OFFSET(CRONOPLE!$F$14,$M99,AP$13))))</f>
        <v>1</v>
      </c>
      <c r="AQ99" s="216">
        <f ca="1">IF($D99&lt;&gt;"Serviço",0,IF(AND(AUTOEVENTO="Manual",$M99=1),0,IF(OFFSET(CRONOPLE!$F$14,$M99,AQ$13)="",10^12,OFFSET(CRONOPLE!$F$14,$M99,AQ$13))))</f>
        <v>2</v>
      </c>
      <c r="AR99" s="216">
        <f ca="1">IF($D99&lt;&gt;"Serviço",0,IF(AND(AUTOEVENTO="Manual",$M99=1),0,IF(OFFSET(CRONOPLE!$F$14,$M99,AR$13)="",10^12,OFFSET(CRONOPLE!$F$14,$M99,AR$13))))</f>
        <v>2</v>
      </c>
      <c r="AS99" s="216">
        <f ca="1">IF($D99&lt;&gt;"Serviço",0,IF(AND(AUTOEVENTO="Manual",$M99=1),0,IF(OFFSET(CRONOPLE!$F$14,$M99,AS$13)="",10^12,OFFSET(CRONOPLE!$F$14,$M99,AS$13))))</f>
        <v>2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hidden="1" x14ac:dyDescent="0.2">
      <c r="A100" s="9" t="str">
        <f t="shared" ca="1" si="17"/>
        <v>36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6</v>
      </c>
      <c r="N100" s="212" t="str">
        <f ca="1">IF($D100&lt;&gt;"Serviço","",IF(AUTOEVENTO="Manual",IF($A100=0,"&lt;-- defina o número do agrupador",OFFSET(EVENTOS!$D$14,$A100,0)),OFFSET($F$15,$A100,0)))</f>
        <v>ENSAIOS TECNOLÓGICOS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</v>
      </c>
      <c r="AN100" s="216">
        <f ca="1">IF($D100&lt;&gt;"Serviço",0,IF(AND(AUTOEVENTO="Manual",$M100=1),0,IF(OFFSET(CRONOPLE!$F$14,$M100,AN$13)="",10^12,OFFSET(CRONOPLE!$F$14,$M100,AN$13))))</f>
        <v>1</v>
      </c>
      <c r="AO100" s="216">
        <f ca="1">IF($D100&lt;&gt;"Serviço",0,IF(AND(AUTOEVENTO="Manual",$M100=1),0,IF(OFFSET(CRONOPLE!$F$14,$M100,AO$13)="",10^12,OFFSET(CRONOPLE!$F$14,$M100,AO$13))))</f>
        <v>1</v>
      </c>
      <c r="AP100" s="216">
        <f ca="1">IF($D100&lt;&gt;"Serviço",0,IF(AND(AUTOEVENTO="Manual",$M100=1),0,IF(OFFSET(CRONOPLE!$F$14,$M100,AP$13)="",10^12,OFFSET(CRONOPLE!$F$14,$M100,AP$13))))</f>
        <v>1</v>
      </c>
      <c r="AQ100" s="216">
        <f ca="1">IF($D100&lt;&gt;"Serviço",0,IF(AND(AUTOEVENTO="Manual",$M100=1),0,IF(OFFSET(CRONOPLE!$F$14,$M100,AQ$13)="",10^12,OFFSET(CRONOPLE!$F$14,$M100,AQ$13))))</f>
        <v>2</v>
      </c>
      <c r="AR100" s="216">
        <f ca="1">IF($D100&lt;&gt;"Serviço",0,IF(AND(AUTOEVENTO="Manual",$M100=1),0,IF(OFFSET(CRONOPLE!$F$14,$M100,AR$13)="",10^12,OFFSET(CRONOPLE!$F$14,$M100,AR$13))))</f>
        <v>2</v>
      </c>
      <c r="AS100" s="216">
        <f ca="1">IF($D100&lt;&gt;"Serviço",0,IF(AND(AUTOEVENTO="Manual",$M100=1),0,IF(OFFSET(CRONOPLE!$F$14,$M100,AS$13)="",10^12,OFFSET(CRONOPLE!$F$14,$M100,AS$13))))</f>
        <v>2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hidden="1" x14ac:dyDescent="0.2">
      <c r="A101" s="9" t="str">
        <f t="shared" ca="1" si="17"/>
        <v>36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(Sem Código)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6</v>
      </c>
      <c r="N101" s="212" t="str">
        <f ca="1">IF($D101&lt;&gt;"Serviço","",IF(AUTOEVENTO="Manual",IF($A101=0,"&lt;-- defina o número do agrupador",OFFSET(EVENTOS!$D$14,$A101,0)),OFFSET($F$15,$A101,0)))</f>
        <v>ENSAIOS TECNOLÓGICOS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</v>
      </c>
      <c r="AN101" s="216">
        <f ca="1">IF($D101&lt;&gt;"Serviço",0,IF(AND(AUTOEVENTO="Manual",$M101=1),0,IF(OFFSET(CRONOPLE!$F$14,$M101,AN$13)="",10^12,OFFSET(CRONOPLE!$F$14,$M101,AN$13))))</f>
        <v>1</v>
      </c>
      <c r="AO101" s="216">
        <f ca="1">IF($D101&lt;&gt;"Serviço",0,IF(AND(AUTOEVENTO="Manual",$M101=1),0,IF(OFFSET(CRONOPLE!$F$14,$M101,AO$13)="",10^12,OFFSET(CRONOPLE!$F$14,$M101,AO$13))))</f>
        <v>1</v>
      </c>
      <c r="AP101" s="216">
        <f ca="1">IF($D101&lt;&gt;"Serviço",0,IF(AND(AUTOEVENTO="Manual",$M101=1),0,IF(OFFSET(CRONOPLE!$F$14,$M101,AP$13)="",10^12,OFFSET(CRONOPLE!$F$14,$M101,AP$13))))</f>
        <v>1</v>
      </c>
      <c r="AQ101" s="216">
        <f ca="1">IF($D101&lt;&gt;"Serviço",0,IF(AND(AUTOEVENTO="Manual",$M101=1),0,IF(OFFSET(CRONOPLE!$F$14,$M101,AQ$13)="",10^12,OFFSET(CRONOPLE!$F$14,$M101,AQ$13))))</f>
        <v>2</v>
      </c>
      <c r="AR101" s="216">
        <f ca="1">IF($D101&lt;&gt;"Serviço",0,IF(AND(AUTOEVENTO="Manual",$M101=1),0,IF(OFFSET(CRONOPLE!$F$14,$M101,AR$13)="",10^12,OFFSET(CRONOPLE!$F$14,$M101,AR$13))))</f>
        <v>2</v>
      </c>
      <c r="AS101" s="216">
        <f ca="1">IF($D101&lt;&gt;"Serviço",0,IF(AND(AUTOEVENTO="Manual",$M101=1),0,IF(OFFSET(CRONOPLE!$F$14,$M101,AS$13)="",10^12,OFFSET(CRONOPLE!$F$14,$M101,AS$13))))</f>
        <v>2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hidden="1" x14ac:dyDescent="0.2">
      <c r="A102" s="9" t="str">
        <f t="shared" ca="1" si="17"/>
        <v>36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6</v>
      </c>
      <c r="N102" s="212" t="str">
        <f ca="1">IF($D102&lt;&gt;"Serviço","",IF(AUTOEVENTO="Manual",IF($A102=0,"&lt;-- defina o número do agrupador",OFFSET(EVENTOS!$D$14,$A102,0)),OFFSET($F$15,$A102,0)))</f>
        <v>ENSAIOS TECNOLÓGICOS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</v>
      </c>
      <c r="AN102" s="216">
        <f ca="1">IF($D102&lt;&gt;"Serviço",0,IF(AND(AUTOEVENTO="Manual",$M102=1),0,IF(OFFSET(CRONOPLE!$F$14,$M102,AN$13)="",10^12,OFFSET(CRONOPLE!$F$14,$M102,AN$13))))</f>
        <v>1</v>
      </c>
      <c r="AO102" s="216">
        <f ca="1">IF($D102&lt;&gt;"Serviço",0,IF(AND(AUTOEVENTO="Manual",$M102=1),0,IF(OFFSET(CRONOPLE!$F$14,$M102,AO$13)="",10^12,OFFSET(CRONOPLE!$F$14,$M102,AO$13))))</f>
        <v>1</v>
      </c>
      <c r="AP102" s="216">
        <f ca="1">IF($D102&lt;&gt;"Serviço",0,IF(AND(AUTOEVENTO="Manual",$M102=1),0,IF(OFFSET(CRONOPLE!$F$14,$M102,AP$13)="",10^12,OFFSET(CRONOPLE!$F$14,$M102,AP$13))))</f>
        <v>1</v>
      </c>
      <c r="AQ102" s="216">
        <f ca="1">IF($D102&lt;&gt;"Serviço",0,IF(AND(AUTOEVENTO="Manual",$M102=1),0,IF(OFFSET(CRONOPLE!$F$14,$M102,AQ$13)="",10^12,OFFSET(CRONOPLE!$F$14,$M102,AQ$13))))</f>
        <v>2</v>
      </c>
      <c r="AR102" s="216">
        <f ca="1">IF($D102&lt;&gt;"Serviço",0,IF(AND(AUTOEVENTO="Manual",$M102=1),0,IF(OFFSET(CRONOPLE!$F$14,$M102,AR$13)="",10^12,OFFSET(CRONOPLE!$F$14,$M102,AR$13))))</f>
        <v>2</v>
      </c>
      <c r="AS102" s="216">
        <f ca="1">IF($D102&lt;&gt;"Serviço",0,IF(AND(AUTOEVENTO="Manual",$M102=1),0,IF(OFFSET(CRONOPLE!$F$14,$M102,AS$13)="",10^12,OFFSET(CRONOPLE!$F$14,$M102,AS$13))))</f>
        <v>2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hidden="1" x14ac:dyDescent="0.2">
      <c r="A103" s="9" t="str">
        <f t="shared" ca="1" si="17"/>
        <v>36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6</v>
      </c>
      <c r="N103" s="212" t="str">
        <f ca="1">IF($D103&lt;&gt;"Serviço","",IF(AUTOEVENTO="Manual",IF($A103=0,"&lt;-- defina o número do agrupador",OFFSET(EVENTOS!$D$14,$A103,0)),OFFSET($F$15,$A103,0)))</f>
        <v>ENSAIOS TECNOLÓGICOS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</v>
      </c>
      <c r="AN103" s="216">
        <f ca="1">IF($D103&lt;&gt;"Serviço",0,IF(AND(AUTOEVENTO="Manual",$M103=1),0,IF(OFFSET(CRONOPLE!$F$14,$M103,AN$13)="",10^12,OFFSET(CRONOPLE!$F$14,$M103,AN$13))))</f>
        <v>1</v>
      </c>
      <c r="AO103" s="216">
        <f ca="1">IF($D103&lt;&gt;"Serviço",0,IF(AND(AUTOEVENTO="Manual",$M103=1),0,IF(OFFSET(CRONOPLE!$F$14,$M103,AO$13)="",10^12,OFFSET(CRONOPLE!$F$14,$M103,AO$13))))</f>
        <v>1</v>
      </c>
      <c r="AP103" s="216">
        <f ca="1">IF($D103&lt;&gt;"Serviço",0,IF(AND(AUTOEVENTO="Manual",$M103=1),0,IF(OFFSET(CRONOPLE!$F$14,$M103,AP$13)="",10^12,OFFSET(CRONOPLE!$F$14,$M103,AP$13))))</f>
        <v>1</v>
      </c>
      <c r="AQ103" s="216">
        <f ca="1">IF($D103&lt;&gt;"Serviço",0,IF(AND(AUTOEVENTO="Manual",$M103=1),0,IF(OFFSET(CRONOPLE!$F$14,$M103,AQ$13)="",10^12,OFFSET(CRONOPLE!$F$14,$M103,AQ$13))))</f>
        <v>2</v>
      </c>
      <c r="AR103" s="216">
        <f ca="1">IF($D103&lt;&gt;"Serviço",0,IF(AND(AUTOEVENTO="Manual",$M103=1),0,IF(OFFSET(CRONOPLE!$F$14,$M103,AR$13)="",10^12,OFFSET(CRONOPLE!$F$14,$M103,AR$13))))</f>
        <v>2</v>
      </c>
      <c r="AS103" s="216">
        <f ca="1">IF($D103&lt;&gt;"Serviço",0,IF(AND(AUTOEVENTO="Manual",$M103=1),0,IF(OFFSET(CRONOPLE!$F$14,$M103,AS$13)="",10^12,OFFSET(CRONOPLE!$F$14,$M103,AS$13))))</f>
        <v>2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hidden="1" x14ac:dyDescent="0.2">
      <c r="A104" s="9" t="str">
        <f t="shared" ca="1" si="17"/>
        <v>36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6</v>
      </c>
      <c r="N104" s="212" t="str">
        <f ca="1">IF($D104&lt;&gt;"Serviço","",IF(AUTOEVENTO="Manual",IF($A104=0,"&lt;-- defina o número do agrupador",OFFSET(EVENTOS!$D$14,$A104,0)),OFFSET($F$15,$A104,0)))</f>
        <v>ENSAIOS TECNOLÓGICOS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</v>
      </c>
      <c r="AN104" s="216">
        <f ca="1">IF($D104&lt;&gt;"Serviço",0,IF(AND(AUTOEVENTO="Manual",$M104=1),0,IF(OFFSET(CRONOPLE!$F$14,$M104,AN$13)="",10^12,OFFSET(CRONOPLE!$F$14,$M104,AN$13))))</f>
        <v>1</v>
      </c>
      <c r="AO104" s="216">
        <f ca="1">IF($D104&lt;&gt;"Serviço",0,IF(AND(AUTOEVENTO="Manual",$M104=1),0,IF(OFFSET(CRONOPLE!$F$14,$M104,AO$13)="",10^12,OFFSET(CRONOPLE!$F$14,$M104,AO$13))))</f>
        <v>1</v>
      </c>
      <c r="AP104" s="216">
        <f ca="1">IF($D104&lt;&gt;"Serviço",0,IF(AND(AUTOEVENTO="Manual",$M104=1),0,IF(OFFSET(CRONOPLE!$F$14,$M104,AP$13)="",10^12,OFFSET(CRONOPLE!$F$14,$M104,AP$13))))</f>
        <v>1</v>
      </c>
      <c r="AQ104" s="216">
        <f ca="1">IF($D104&lt;&gt;"Serviço",0,IF(AND(AUTOEVENTO="Manual",$M104=1),0,IF(OFFSET(CRONOPLE!$F$14,$M104,AQ$13)="",10^12,OFFSET(CRONOPLE!$F$14,$M104,AQ$13))))</f>
        <v>2</v>
      </c>
      <c r="AR104" s="216">
        <f ca="1">IF($D104&lt;&gt;"Serviço",0,IF(AND(AUTOEVENTO="Manual",$M104=1),0,IF(OFFSET(CRONOPLE!$F$14,$M104,AR$13)="",10^12,OFFSET(CRONOPLE!$F$14,$M104,AR$13))))</f>
        <v>2</v>
      </c>
      <c r="AS104" s="216">
        <f ca="1">IF($D104&lt;&gt;"Serviço",0,IF(AND(AUTOEVENTO="Manual",$M104=1),0,IF(OFFSET(CRONOPLE!$F$14,$M104,AS$13)="",10^12,OFFSET(CRONOPLE!$F$14,$M104,AS$13))))</f>
        <v>2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hidden="1" x14ac:dyDescent="0.2">
      <c r="A105" s="9" t="str">
        <f t="shared" ca="1" si="17"/>
        <v>36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6</v>
      </c>
      <c r="N105" s="212" t="str">
        <f ca="1">IF($D105&lt;&gt;"Serviço","",IF(AUTOEVENTO="Manual",IF($A105=0,"&lt;-- defina o número do agrupador",OFFSET(EVENTOS!$D$14,$A105,0)),OFFSET($F$15,$A105,0)))</f>
        <v>ENSAIOS TECNOLÓGICOS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</v>
      </c>
      <c r="AN105" s="216">
        <f ca="1">IF($D105&lt;&gt;"Serviço",0,IF(AND(AUTOEVENTO="Manual",$M105=1),0,IF(OFFSET(CRONOPLE!$F$14,$M105,AN$13)="",10^12,OFFSET(CRONOPLE!$F$14,$M105,AN$13))))</f>
        <v>1</v>
      </c>
      <c r="AO105" s="216">
        <f ca="1">IF($D105&lt;&gt;"Serviço",0,IF(AND(AUTOEVENTO="Manual",$M105=1),0,IF(OFFSET(CRONOPLE!$F$14,$M105,AO$13)="",10^12,OFFSET(CRONOPLE!$F$14,$M105,AO$13))))</f>
        <v>1</v>
      </c>
      <c r="AP105" s="216">
        <f ca="1">IF($D105&lt;&gt;"Serviço",0,IF(AND(AUTOEVENTO="Manual",$M105=1),0,IF(OFFSET(CRONOPLE!$F$14,$M105,AP$13)="",10^12,OFFSET(CRONOPLE!$F$14,$M105,AP$13))))</f>
        <v>1</v>
      </c>
      <c r="AQ105" s="216">
        <f ca="1">IF($D105&lt;&gt;"Serviço",0,IF(AND(AUTOEVENTO="Manual",$M105=1),0,IF(OFFSET(CRONOPLE!$F$14,$M105,AQ$13)="",10^12,OFFSET(CRONOPLE!$F$14,$M105,AQ$13))))</f>
        <v>2</v>
      </c>
      <c r="AR105" s="216">
        <f ca="1">IF($D105&lt;&gt;"Serviço",0,IF(AND(AUTOEVENTO="Manual",$M105=1),0,IF(OFFSET(CRONOPLE!$F$14,$M105,AR$13)="",10^12,OFFSET(CRONOPLE!$F$14,$M105,AR$13))))</f>
        <v>2</v>
      </c>
      <c r="AS105" s="216">
        <f ca="1">IF($D105&lt;&gt;"Serviço",0,IF(AND(AUTOEVENTO="Manual",$M105=1),0,IF(OFFSET(CRONOPLE!$F$14,$M105,AS$13)="",10^12,OFFSET(CRONOPLE!$F$14,$M105,AS$13))))</f>
        <v>2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hidden="1" x14ac:dyDescent="0.2">
      <c r="A106" s="9" t="str">
        <f t="shared" ca="1" si="17"/>
        <v>36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6</v>
      </c>
      <c r="N106" s="212" t="str">
        <f ca="1">IF($D106&lt;&gt;"Serviço","",IF(AUTOEVENTO="Manual",IF($A106=0,"&lt;-- defina o número do agrupador",OFFSET(EVENTOS!$D$14,$A106,0)),OFFSET($F$15,$A106,0)))</f>
        <v>ENSAIOS TECNOLÓGICOS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</v>
      </c>
      <c r="AN106" s="216">
        <f ca="1">IF($D106&lt;&gt;"Serviço",0,IF(AND(AUTOEVENTO="Manual",$M106=1),0,IF(OFFSET(CRONOPLE!$F$14,$M106,AN$13)="",10^12,OFFSET(CRONOPLE!$F$14,$M106,AN$13))))</f>
        <v>1</v>
      </c>
      <c r="AO106" s="216">
        <f ca="1">IF($D106&lt;&gt;"Serviço",0,IF(AND(AUTOEVENTO="Manual",$M106=1),0,IF(OFFSET(CRONOPLE!$F$14,$M106,AO$13)="",10^12,OFFSET(CRONOPLE!$F$14,$M106,AO$13))))</f>
        <v>1</v>
      </c>
      <c r="AP106" s="216">
        <f ca="1">IF($D106&lt;&gt;"Serviço",0,IF(AND(AUTOEVENTO="Manual",$M106=1),0,IF(OFFSET(CRONOPLE!$F$14,$M106,AP$13)="",10^12,OFFSET(CRONOPLE!$F$14,$M106,AP$13))))</f>
        <v>1</v>
      </c>
      <c r="AQ106" s="216">
        <f ca="1">IF($D106&lt;&gt;"Serviço",0,IF(AND(AUTOEVENTO="Manual",$M106=1),0,IF(OFFSET(CRONOPLE!$F$14,$M106,AQ$13)="",10^12,OFFSET(CRONOPLE!$F$14,$M106,AQ$13))))</f>
        <v>2</v>
      </c>
      <c r="AR106" s="216">
        <f ca="1">IF($D106&lt;&gt;"Serviço",0,IF(AND(AUTOEVENTO="Manual",$M106=1),0,IF(OFFSET(CRONOPLE!$F$14,$M106,AR$13)="",10^12,OFFSET(CRONOPLE!$F$14,$M106,AR$13))))</f>
        <v>2</v>
      </c>
      <c r="AS106" s="216">
        <f ca="1">IF($D106&lt;&gt;"Serviço",0,IF(AND(AUTOEVENTO="Manual",$M106=1),0,IF(OFFSET(CRONOPLE!$F$14,$M106,AS$13)="",10^12,OFFSET(CRONOPLE!$F$14,$M106,AS$13))))</f>
        <v>2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hidden="1" x14ac:dyDescent="0.2">
      <c r="A107" s="9" t="str">
        <f t="shared" ca="1" si="17"/>
        <v>36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6</v>
      </c>
      <c r="N107" s="212" t="str">
        <f ca="1">IF($D107&lt;&gt;"Serviço","",IF(AUTOEVENTO="Manual",IF($A107=0,"&lt;-- defina o número do agrupador",OFFSET(EVENTOS!$D$14,$A107,0)),OFFSET($F$15,$A107,0)))</f>
        <v>ENSAIOS TECNOLÓGICOS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</v>
      </c>
      <c r="AN107" s="216">
        <f ca="1">IF($D107&lt;&gt;"Serviço",0,IF(AND(AUTOEVENTO="Manual",$M107=1),0,IF(OFFSET(CRONOPLE!$F$14,$M107,AN$13)="",10^12,OFFSET(CRONOPLE!$F$14,$M107,AN$13))))</f>
        <v>1</v>
      </c>
      <c r="AO107" s="216">
        <f ca="1">IF($D107&lt;&gt;"Serviço",0,IF(AND(AUTOEVENTO="Manual",$M107=1),0,IF(OFFSET(CRONOPLE!$F$14,$M107,AO$13)="",10^12,OFFSET(CRONOPLE!$F$14,$M107,AO$13))))</f>
        <v>1</v>
      </c>
      <c r="AP107" s="216">
        <f ca="1">IF($D107&lt;&gt;"Serviço",0,IF(AND(AUTOEVENTO="Manual",$M107=1),0,IF(OFFSET(CRONOPLE!$F$14,$M107,AP$13)="",10^12,OFFSET(CRONOPLE!$F$14,$M107,AP$13))))</f>
        <v>1</v>
      </c>
      <c r="AQ107" s="216">
        <f ca="1">IF($D107&lt;&gt;"Serviço",0,IF(AND(AUTOEVENTO="Manual",$M107=1),0,IF(OFFSET(CRONOPLE!$F$14,$M107,AQ$13)="",10^12,OFFSET(CRONOPLE!$F$14,$M107,AQ$13))))</f>
        <v>2</v>
      </c>
      <c r="AR107" s="216">
        <f ca="1">IF($D107&lt;&gt;"Serviço",0,IF(AND(AUTOEVENTO="Manual",$M107=1),0,IF(OFFSET(CRONOPLE!$F$14,$M107,AR$13)="",10^12,OFFSET(CRONOPLE!$F$14,$M107,AR$13))))</f>
        <v>2</v>
      </c>
      <c r="AS107" s="216">
        <f ca="1">IF($D107&lt;&gt;"Serviço",0,IF(AND(AUTOEVENTO="Manual",$M107=1),0,IF(OFFSET(CRONOPLE!$F$14,$M107,AS$13)="",10^12,OFFSET(CRONOPLE!$F$14,$M107,AS$13))))</f>
        <v>2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hidden="1" x14ac:dyDescent="0.2">
      <c r="A108" s="9" t="str">
        <f t="shared" ca="1" si="17"/>
        <v>36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6</v>
      </c>
      <c r="N108" s="212" t="str">
        <f ca="1">IF($D108&lt;&gt;"Serviço","",IF(AUTOEVENTO="Manual",IF($A108=0,"&lt;-- defina o número do agrupador",OFFSET(EVENTOS!$D$14,$A108,0)),OFFSET($F$15,$A108,0)))</f>
        <v>ENSAIOS TECNOLÓGICOS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</v>
      </c>
      <c r="AN108" s="216">
        <f ca="1">IF($D108&lt;&gt;"Serviço",0,IF(AND(AUTOEVENTO="Manual",$M108=1),0,IF(OFFSET(CRONOPLE!$F$14,$M108,AN$13)="",10^12,OFFSET(CRONOPLE!$F$14,$M108,AN$13))))</f>
        <v>1</v>
      </c>
      <c r="AO108" s="216">
        <f ca="1">IF($D108&lt;&gt;"Serviço",0,IF(AND(AUTOEVENTO="Manual",$M108=1),0,IF(OFFSET(CRONOPLE!$F$14,$M108,AO$13)="",10^12,OFFSET(CRONOPLE!$F$14,$M108,AO$13))))</f>
        <v>1</v>
      </c>
      <c r="AP108" s="216">
        <f ca="1">IF($D108&lt;&gt;"Serviço",0,IF(AND(AUTOEVENTO="Manual",$M108=1),0,IF(OFFSET(CRONOPLE!$F$14,$M108,AP$13)="",10^12,OFFSET(CRONOPLE!$F$14,$M108,AP$13))))</f>
        <v>1</v>
      </c>
      <c r="AQ108" s="216">
        <f ca="1">IF($D108&lt;&gt;"Serviço",0,IF(AND(AUTOEVENTO="Manual",$M108=1),0,IF(OFFSET(CRONOPLE!$F$14,$M108,AQ$13)="",10^12,OFFSET(CRONOPLE!$F$14,$M108,AQ$13))))</f>
        <v>2</v>
      </c>
      <c r="AR108" s="216">
        <f ca="1">IF($D108&lt;&gt;"Serviço",0,IF(AND(AUTOEVENTO="Manual",$M108=1),0,IF(OFFSET(CRONOPLE!$F$14,$M108,AR$13)="",10^12,OFFSET(CRONOPLE!$F$14,$M108,AR$13))))</f>
        <v>2</v>
      </c>
      <c r="AS108" s="216">
        <f ca="1">IF($D108&lt;&gt;"Serviço",0,IF(AND(AUTOEVENTO="Manual",$M108=1),0,IF(OFFSET(CRONOPLE!$F$14,$M108,AS$13)="",10^12,OFFSET(CRONOPLE!$F$14,$M108,AS$13))))</f>
        <v>2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hidden="1" x14ac:dyDescent="0.2">
      <c r="A109" s="9" t="str">
        <f t="shared" ca="1" si="17"/>
        <v>36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6</v>
      </c>
      <c r="N109" s="212" t="str">
        <f ca="1">IF($D109&lt;&gt;"Serviço","",IF(AUTOEVENTO="Manual",IF($A109=0,"&lt;-- defina o número do agrupador",OFFSET(EVENTOS!$D$14,$A109,0)),OFFSET($F$15,$A109,0)))</f>
        <v>ENSAIOS TECNOLÓGICOS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</v>
      </c>
      <c r="AN109" s="216">
        <f ca="1">IF($D109&lt;&gt;"Serviço",0,IF(AND(AUTOEVENTO="Manual",$M109=1),0,IF(OFFSET(CRONOPLE!$F$14,$M109,AN$13)="",10^12,OFFSET(CRONOPLE!$F$14,$M109,AN$13))))</f>
        <v>1</v>
      </c>
      <c r="AO109" s="216">
        <f ca="1">IF($D109&lt;&gt;"Serviço",0,IF(AND(AUTOEVENTO="Manual",$M109=1),0,IF(OFFSET(CRONOPLE!$F$14,$M109,AO$13)="",10^12,OFFSET(CRONOPLE!$F$14,$M109,AO$13))))</f>
        <v>1</v>
      </c>
      <c r="AP109" s="216">
        <f ca="1">IF($D109&lt;&gt;"Serviço",0,IF(AND(AUTOEVENTO="Manual",$M109=1),0,IF(OFFSET(CRONOPLE!$F$14,$M109,AP$13)="",10^12,OFFSET(CRONOPLE!$F$14,$M109,AP$13))))</f>
        <v>1</v>
      </c>
      <c r="AQ109" s="216">
        <f ca="1">IF($D109&lt;&gt;"Serviço",0,IF(AND(AUTOEVENTO="Manual",$M109=1),0,IF(OFFSET(CRONOPLE!$F$14,$M109,AQ$13)="",10^12,OFFSET(CRONOPLE!$F$14,$M109,AQ$13))))</f>
        <v>2</v>
      </c>
      <c r="AR109" s="216">
        <f ca="1">IF($D109&lt;&gt;"Serviço",0,IF(AND(AUTOEVENTO="Manual",$M109=1),0,IF(OFFSET(CRONOPLE!$F$14,$M109,AR$13)="",10^12,OFFSET(CRONOPLE!$F$14,$M109,AR$13))))</f>
        <v>2</v>
      </c>
      <c r="AS109" s="216">
        <f ca="1">IF($D109&lt;&gt;"Serviço",0,IF(AND(AUTOEVENTO="Manual",$M109=1),0,IF(OFFSET(CRONOPLE!$F$14,$M109,AS$13)="",10^12,OFFSET(CRONOPLE!$F$14,$M109,AS$13))))</f>
        <v>2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hidden="1" x14ac:dyDescent="0.2">
      <c r="A110" s="9" t="str">
        <f t="shared" ca="1" si="17"/>
        <v>36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(Sem Código)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6</v>
      </c>
      <c r="N110" s="212" t="str">
        <f ca="1">IF($D110&lt;&gt;"Serviço","",IF(AUTOEVENTO="Manual",IF($A110=0,"&lt;-- defina o número do agrupador",OFFSET(EVENTOS!$D$14,$A110,0)),OFFSET($F$15,$A110,0)))</f>
        <v>ENSAIOS TECNOLÓGICOS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</v>
      </c>
      <c r="AN110" s="216">
        <f ca="1">IF($D110&lt;&gt;"Serviço",0,IF(AND(AUTOEVENTO="Manual",$M110=1),0,IF(OFFSET(CRONOPLE!$F$14,$M110,AN$13)="",10^12,OFFSET(CRONOPLE!$F$14,$M110,AN$13))))</f>
        <v>1</v>
      </c>
      <c r="AO110" s="216">
        <f ca="1">IF($D110&lt;&gt;"Serviço",0,IF(AND(AUTOEVENTO="Manual",$M110=1),0,IF(OFFSET(CRONOPLE!$F$14,$M110,AO$13)="",10^12,OFFSET(CRONOPLE!$F$14,$M110,AO$13))))</f>
        <v>1</v>
      </c>
      <c r="AP110" s="216">
        <f ca="1">IF($D110&lt;&gt;"Serviço",0,IF(AND(AUTOEVENTO="Manual",$M110=1),0,IF(OFFSET(CRONOPLE!$F$14,$M110,AP$13)="",10^12,OFFSET(CRONOPLE!$F$14,$M110,AP$13))))</f>
        <v>1</v>
      </c>
      <c r="AQ110" s="216">
        <f ca="1">IF($D110&lt;&gt;"Serviço",0,IF(AND(AUTOEVENTO="Manual",$M110=1),0,IF(OFFSET(CRONOPLE!$F$14,$M110,AQ$13)="",10^12,OFFSET(CRONOPLE!$F$14,$M110,AQ$13))))</f>
        <v>2</v>
      </c>
      <c r="AR110" s="216">
        <f ca="1">IF($D110&lt;&gt;"Serviço",0,IF(AND(AUTOEVENTO="Manual",$M110=1),0,IF(OFFSET(CRONOPLE!$F$14,$M110,AR$13)="",10^12,OFFSET(CRONOPLE!$F$14,$M110,AR$13))))</f>
        <v>2</v>
      </c>
      <c r="AS110" s="216">
        <f ca="1">IF($D110&lt;&gt;"Serviço",0,IF(AND(AUTOEVENTO="Manual",$M110=1),0,IF(OFFSET(CRONOPLE!$F$14,$M110,AS$13)="",10^12,OFFSET(CRONOPLE!$F$14,$M110,AS$13))))</f>
        <v>2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hidden="1" x14ac:dyDescent="0.2">
      <c r="A111" s="9" t="str">
        <f t="shared" ca="1" si="17"/>
        <v>36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6</v>
      </c>
      <c r="N111" s="212" t="str">
        <f ca="1">IF($D111&lt;&gt;"Serviço","",IF(AUTOEVENTO="Manual",IF($A111=0,"&lt;-- defina o número do agrupador",OFFSET(EVENTOS!$D$14,$A111,0)),OFFSET($F$15,$A111,0)))</f>
        <v>ENSAIOS TECNOLÓGICOS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</v>
      </c>
      <c r="AN111" s="216">
        <f ca="1">IF($D111&lt;&gt;"Serviço",0,IF(AND(AUTOEVENTO="Manual",$M111=1),0,IF(OFFSET(CRONOPLE!$F$14,$M111,AN$13)="",10^12,OFFSET(CRONOPLE!$F$14,$M111,AN$13))))</f>
        <v>1</v>
      </c>
      <c r="AO111" s="216">
        <f ca="1">IF($D111&lt;&gt;"Serviço",0,IF(AND(AUTOEVENTO="Manual",$M111=1),0,IF(OFFSET(CRONOPLE!$F$14,$M111,AO$13)="",10^12,OFFSET(CRONOPLE!$F$14,$M111,AO$13))))</f>
        <v>1</v>
      </c>
      <c r="AP111" s="216">
        <f ca="1">IF($D111&lt;&gt;"Serviço",0,IF(AND(AUTOEVENTO="Manual",$M111=1),0,IF(OFFSET(CRONOPLE!$F$14,$M111,AP$13)="",10^12,OFFSET(CRONOPLE!$F$14,$M111,AP$13))))</f>
        <v>1</v>
      </c>
      <c r="AQ111" s="216">
        <f ca="1">IF($D111&lt;&gt;"Serviço",0,IF(AND(AUTOEVENTO="Manual",$M111=1),0,IF(OFFSET(CRONOPLE!$F$14,$M111,AQ$13)="",10^12,OFFSET(CRONOPLE!$F$14,$M111,AQ$13))))</f>
        <v>2</v>
      </c>
      <c r="AR111" s="216">
        <f ca="1">IF($D111&lt;&gt;"Serviço",0,IF(AND(AUTOEVENTO="Manual",$M111=1),0,IF(OFFSET(CRONOPLE!$F$14,$M111,AR$13)="",10^12,OFFSET(CRONOPLE!$F$14,$M111,AR$13))))</f>
        <v>2</v>
      </c>
      <c r="AS111" s="216">
        <f ca="1">IF($D111&lt;&gt;"Serviço",0,IF(AND(AUTOEVENTO="Manual",$M111=1),0,IF(OFFSET(CRONOPLE!$F$14,$M111,AS$13)="",10^12,OFFSET(CRONOPLE!$F$14,$M111,AS$13))))</f>
        <v>2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hidden="1" x14ac:dyDescent="0.2">
      <c r="A112" s="9" t="str">
        <f t="shared" ca="1" si="17"/>
        <v>36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6</v>
      </c>
      <c r="N112" s="212" t="str">
        <f ca="1">IF($D112&lt;&gt;"Serviço","",IF(AUTOEVENTO="Manual",IF($A112=0,"&lt;-- defina o número do agrupador",OFFSET(EVENTOS!$D$14,$A112,0)),OFFSET($F$15,$A112,0)))</f>
        <v>ENSAIOS TECNOLÓGICOS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</v>
      </c>
      <c r="AN112" s="216">
        <f ca="1">IF($D112&lt;&gt;"Serviço",0,IF(AND(AUTOEVENTO="Manual",$M112=1),0,IF(OFFSET(CRONOPLE!$F$14,$M112,AN$13)="",10^12,OFFSET(CRONOPLE!$F$14,$M112,AN$13))))</f>
        <v>1</v>
      </c>
      <c r="AO112" s="216">
        <f ca="1">IF($D112&lt;&gt;"Serviço",0,IF(AND(AUTOEVENTO="Manual",$M112=1),0,IF(OFFSET(CRONOPLE!$F$14,$M112,AO$13)="",10^12,OFFSET(CRONOPLE!$F$14,$M112,AO$13))))</f>
        <v>1</v>
      </c>
      <c r="AP112" s="216">
        <f ca="1">IF($D112&lt;&gt;"Serviço",0,IF(AND(AUTOEVENTO="Manual",$M112=1),0,IF(OFFSET(CRONOPLE!$F$14,$M112,AP$13)="",10^12,OFFSET(CRONOPLE!$F$14,$M112,AP$13))))</f>
        <v>1</v>
      </c>
      <c r="AQ112" s="216">
        <f ca="1">IF($D112&lt;&gt;"Serviço",0,IF(AND(AUTOEVENTO="Manual",$M112=1),0,IF(OFFSET(CRONOPLE!$F$14,$M112,AQ$13)="",10^12,OFFSET(CRONOPLE!$F$14,$M112,AQ$13))))</f>
        <v>2</v>
      </c>
      <c r="AR112" s="216">
        <f ca="1">IF($D112&lt;&gt;"Serviço",0,IF(AND(AUTOEVENTO="Manual",$M112=1),0,IF(OFFSET(CRONOPLE!$F$14,$M112,AR$13)="",10^12,OFFSET(CRONOPLE!$F$14,$M112,AR$13))))</f>
        <v>2</v>
      </c>
      <c r="AS112" s="216">
        <f ca="1">IF($D112&lt;&gt;"Serviço",0,IF(AND(AUTOEVENTO="Manual",$M112=1),0,IF(OFFSET(CRONOPLE!$F$14,$M112,AS$13)="",10^12,OFFSET(CRONOPLE!$F$14,$M112,AS$13))))</f>
        <v>2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hidden="1" x14ac:dyDescent="0.2">
      <c r="A113" s="9" t="str">
        <f t="shared" ca="1" si="17"/>
        <v>36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6</v>
      </c>
      <c r="N113" s="212" t="str">
        <f ca="1">IF($D113&lt;&gt;"Serviço","",IF(AUTOEVENTO="Manual",IF($A113=0,"&lt;-- defina o número do agrupador",OFFSET(EVENTOS!$D$14,$A113,0)),OFFSET($F$15,$A113,0)))</f>
        <v>ENSAIOS TECNOLÓGICOS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</v>
      </c>
      <c r="AN113" s="216">
        <f ca="1">IF($D113&lt;&gt;"Serviço",0,IF(AND(AUTOEVENTO="Manual",$M113=1),0,IF(OFFSET(CRONOPLE!$F$14,$M113,AN$13)="",10^12,OFFSET(CRONOPLE!$F$14,$M113,AN$13))))</f>
        <v>1</v>
      </c>
      <c r="AO113" s="216">
        <f ca="1">IF($D113&lt;&gt;"Serviço",0,IF(AND(AUTOEVENTO="Manual",$M113=1),0,IF(OFFSET(CRONOPLE!$F$14,$M113,AO$13)="",10^12,OFFSET(CRONOPLE!$F$14,$M113,AO$13))))</f>
        <v>1</v>
      </c>
      <c r="AP113" s="216">
        <f ca="1">IF($D113&lt;&gt;"Serviço",0,IF(AND(AUTOEVENTO="Manual",$M113=1),0,IF(OFFSET(CRONOPLE!$F$14,$M113,AP$13)="",10^12,OFFSET(CRONOPLE!$F$14,$M113,AP$13))))</f>
        <v>1</v>
      </c>
      <c r="AQ113" s="216">
        <f ca="1">IF($D113&lt;&gt;"Serviço",0,IF(AND(AUTOEVENTO="Manual",$M113=1),0,IF(OFFSET(CRONOPLE!$F$14,$M113,AQ$13)="",10^12,OFFSET(CRONOPLE!$F$14,$M113,AQ$13))))</f>
        <v>2</v>
      </c>
      <c r="AR113" s="216">
        <f ca="1">IF($D113&lt;&gt;"Serviço",0,IF(AND(AUTOEVENTO="Manual",$M113=1),0,IF(OFFSET(CRONOPLE!$F$14,$M113,AR$13)="",10^12,OFFSET(CRONOPLE!$F$14,$M113,AR$13))))</f>
        <v>2</v>
      </c>
      <c r="AS113" s="216">
        <f ca="1">IF($D113&lt;&gt;"Serviço",0,IF(AND(AUTOEVENTO="Manual",$M113=1),0,IF(OFFSET(CRONOPLE!$F$14,$M113,AS$13)="",10^12,OFFSET(CRONOPLE!$F$14,$M113,AS$13))))</f>
        <v>2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hidden="1" x14ac:dyDescent="0.2">
      <c r="A114" s="9" t="str">
        <f t="shared" ca="1" si="17"/>
        <v>36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6</v>
      </c>
      <c r="N114" s="212" t="str">
        <f ca="1">IF($D114&lt;&gt;"Serviço","",IF(AUTOEVENTO="Manual",IF($A114=0,"&lt;-- defina o número do agrupador",OFFSET(EVENTOS!$D$14,$A114,0)),OFFSET($F$15,$A114,0)))</f>
        <v>ENSAIOS TECNOLÓGICOS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</v>
      </c>
      <c r="AN114" s="216">
        <f ca="1">IF($D114&lt;&gt;"Serviço",0,IF(AND(AUTOEVENTO="Manual",$M114=1),0,IF(OFFSET(CRONOPLE!$F$14,$M114,AN$13)="",10^12,OFFSET(CRONOPLE!$F$14,$M114,AN$13))))</f>
        <v>1</v>
      </c>
      <c r="AO114" s="216">
        <f ca="1">IF($D114&lt;&gt;"Serviço",0,IF(AND(AUTOEVENTO="Manual",$M114=1),0,IF(OFFSET(CRONOPLE!$F$14,$M114,AO$13)="",10^12,OFFSET(CRONOPLE!$F$14,$M114,AO$13))))</f>
        <v>1</v>
      </c>
      <c r="AP114" s="216">
        <f ca="1">IF($D114&lt;&gt;"Serviço",0,IF(AND(AUTOEVENTO="Manual",$M114=1),0,IF(OFFSET(CRONOPLE!$F$14,$M114,AP$13)="",10^12,OFFSET(CRONOPLE!$F$14,$M114,AP$13))))</f>
        <v>1</v>
      </c>
      <c r="AQ114" s="216">
        <f ca="1">IF($D114&lt;&gt;"Serviço",0,IF(AND(AUTOEVENTO="Manual",$M114=1),0,IF(OFFSET(CRONOPLE!$F$14,$M114,AQ$13)="",10^12,OFFSET(CRONOPLE!$F$14,$M114,AQ$13))))</f>
        <v>2</v>
      </c>
      <c r="AR114" s="216">
        <f ca="1">IF($D114&lt;&gt;"Serviço",0,IF(AND(AUTOEVENTO="Manual",$M114=1),0,IF(OFFSET(CRONOPLE!$F$14,$M114,AR$13)="",10^12,OFFSET(CRONOPLE!$F$14,$M114,AR$13))))</f>
        <v>2</v>
      </c>
      <c r="AS114" s="216">
        <f ca="1">IF($D114&lt;&gt;"Serviço",0,IF(AND(AUTOEVENTO="Manual",$M114=1),0,IF(OFFSET(CRONOPLE!$F$14,$M114,AS$13)="",10^12,OFFSET(CRONOPLE!$F$14,$M114,AS$13))))</f>
        <v>2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hidden="1" x14ac:dyDescent="0.2">
      <c r="A115" s="9" t="str">
        <f t="shared" ca="1" si="17"/>
        <v>36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6</v>
      </c>
      <c r="N115" s="212" t="str">
        <f ca="1">IF($D115&lt;&gt;"Serviço","",IF(AUTOEVENTO="Manual",IF($A115=0,"&lt;-- defina o número do agrupador",OFFSET(EVENTOS!$D$14,$A115,0)),OFFSET($F$15,$A115,0)))</f>
        <v>ENSAIOS TECNOLÓGICOS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</v>
      </c>
      <c r="AN115" s="216">
        <f ca="1">IF($D115&lt;&gt;"Serviço",0,IF(AND(AUTOEVENTO="Manual",$M115=1),0,IF(OFFSET(CRONOPLE!$F$14,$M115,AN$13)="",10^12,OFFSET(CRONOPLE!$F$14,$M115,AN$13))))</f>
        <v>1</v>
      </c>
      <c r="AO115" s="216">
        <f ca="1">IF($D115&lt;&gt;"Serviço",0,IF(AND(AUTOEVENTO="Manual",$M115=1),0,IF(OFFSET(CRONOPLE!$F$14,$M115,AO$13)="",10^12,OFFSET(CRONOPLE!$F$14,$M115,AO$13))))</f>
        <v>1</v>
      </c>
      <c r="AP115" s="216">
        <f ca="1">IF($D115&lt;&gt;"Serviço",0,IF(AND(AUTOEVENTO="Manual",$M115=1),0,IF(OFFSET(CRONOPLE!$F$14,$M115,AP$13)="",10^12,OFFSET(CRONOPLE!$F$14,$M115,AP$13))))</f>
        <v>1</v>
      </c>
      <c r="AQ115" s="216">
        <f ca="1">IF($D115&lt;&gt;"Serviço",0,IF(AND(AUTOEVENTO="Manual",$M115=1),0,IF(OFFSET(CRONOPLE!$F$14,$M115,AQ$13)="",10^12,OFFSET(CRONOPLE!$F$14,$M115,AQ$13))))</f>
        <v>2</v>
      </c>
      <c r="AR115" s="216">
        <f ca="1">IF($D115&lt;&gt;"Serviço",0,IF(AND(AUTOEVENTO="Manual",$M115=1),0,IF(OFFSET(CRONOPLE!$F$14,$M115,AR$13)="",10^12,OFFSET(CRONOPLE!$F$14,$M115,AR$13))))</f>
        <v>2</v>
      </c>
      <c r="AS115" s="216">
        <f ca="1">IF($D115&lt;&gt;"Serviço",0,IF(AND(AUTOEVENTO="Manual",$M115=1),0,IF(OFFSET(CRONOPLE!$F$14,$M115,AS$13)="",10^12,OFFSET(CRONOPLE!$F$14,$M115,AS$13))))</f>
        <v>2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hidden="1" x14ac:dyDescent="0.2">
      <c r="A116" s="9" t="str">
        <f t="shared" ca="1" si="17"/>
        <v>36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6</v>
      </c>
      <c r="N116" s="212" t="str">
        <f ca="1">IF($D116&lt;&gt;"Serviço","",IF(AUTOEVENTO="Manual",IF($A116=0,"&lt;-- defina o número do agrupador",OFFSET(EVENTOS!$D$14,$A116,0)),OFFSET($F$15,$A116,0)))</f>
        <v>ENSAIOS TECNOLÓGICOS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</v>
      </c>
      <c r="AN116" s="216">
        <f ca="1">IF($D116&lt;&gt;"Serviço",0,IF(AND(AUTOEVENTO="Manual",$M116=1),0,IF(OFFSET(CRONOPLE!$F$14,$M116,AN$13)="",10^12,OFFSET(CRONOPLE!$F$14,$M116,AN$13))))</f>
        <v>1</v>
      </c>
      <c r="AO116" s="216">
        <f ca="1">IF($D116&lt;&gt;"Serviço",0,IF(AND(AUTOEVENTO="Manual",$M116=1),0,IF(OFFSET(CRONOPLE!$F$14,$M116,AO$13)="",10^12,OFFSET(CRONOPLE!$F$14,$M116,AO$13))))</f>
        <v>1</v>
      </c>
      <c r="AP116" s="216">
        <f ca="1">IF($D116&lt;&gt;"Serviço",0,IF(AND(AUTOEVENTO="Manual",$M116=1),0,IF(OFFSET(CRONOPLE!$F$14,$M116,AP$13)="",10^12,OFFSET(CRONOPLE!$F$14,$M116,AP$13))))</f>
        <v>1</v>
      </c>
      <c r="AQ116" s="216">
        <f ca="1">IF($D116&lt;&gt;"Serviço",0,IF(AND(AUTOEVENTO="Manual",$M116=1),0,IF(OFFSET(CRONOPLE!$F$14,$M116,AQ$13)="",10^12,OFFSET(CRONOPLE!$F$14,$M116,AQ$13))))</f>
        <v>2</v>
      </c>
      <c r="AR116" s="216">
        <f ca="1">IF($D116&lt;&gt;"Serviço",0,IF(AND(AUTOEVENTO="Manual",$M116=1),0,IF(OFFSET(CRONOPLE!$F$14,$M116,AR$13)="",10^12,OFFSET(CRONOPLE!$F$14,$M116,AR$13))))</f>
        <v>2</v>
      </c>
      <c r="AS116" s="216">
        <f ca="1">IF($D116&lt;&gt;"Serviço",0,IF(AND(AUTOEVENTO="Manual",$M116=1),0,IF(OFFSET(CRONOPLE!$F$14,$M116,AS$13)="",10^12,OFFSET(CRONOPLE!$F$14,$M116,AS$13))))</f>
        <v>2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hidden="1" x14ac:dyDescent="0.2">
      <c r="A117" s="9" t="str">
        <f t="shared" ca="1" si="17"/>
        <v>36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6</v>
      </c>
      <c r="N117" s="212" t="str">
        <f ca="1">IF($D117&lt;&gt;"Serviço","",IF(AUTOEVENTO="Manual",IF($A117=0,"&lt;-- defina o número do agrupador",OFFSET(EVENTOS!$D$14,$A117,0)),OFFSET($F$15,$A117,0)))</f>
        <v>ENSAIOS TECNOLÓGICOS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</v>
      </c>
      <c r="AN117" s="216">
        <f ca="1">IF($D117&lt;&gt;"Serviço",0,IF(AND(AUTOEVENTO="Manual",$M117=1),0,IF(OFFSET(CRONOPLE!$F$14,$M117,AN$13)="",10^12,OFFSET(CRONOPLE!$F$14,$M117,AN$13))))</f>
        <v>1</v>
      </c>
      <c r="AO117" s="216">
        <f ca="1">IF($D117&lt;&gt;"Serviço",0,IF(AND(AUTOEVENTO="Manual",$M117=1),0,IF(OFFSET(CRONOPLE!$F$14,$M117,AO$13)="",10^12,OFFSET(CRONOPLE!$F$14,$M117,AO$13))))</f>
        <v>1</v>
      </c>
      <c r="AP117" s="216">
        <f ca="1">IF($D117&lt;&gt;"Serviço",0,IF(AND(AUTOEVENTO="Manual",$M117=1),0,IF(OFFSET(CRONOPLE!$F$14,$M117,AP$13)="",10^12,OFFSET(CRONOPLE!$F$14,$M117,AP$13))))</f>
        <v>1</v>
      </c>
      <c r="AQ117" s="216">
        <f ca="1">IF($D117&lt;&gt;"Serviço",0,IF(AND(AUTOEVENTO="Manual",$M117=1),0,IF(OFFSET(CRONOPLE!$F$14,$M117,AQ$13)="",10^12,OFFSET(CRONOPLE!$F$14,$M117,AQ$13))))</f>
        <v>2</v>
      </c>
      <c r="AR117" s="216">
        <f ca="1">IF($D117&lt;&gt;"Serviço",0,IF(AND(AUTOEVENTO="Manual",$M117=1),0,IF(OFFSET(CRONOPLE!$F$14,$M117,AR$13)="",10^12,OFFSET(CRONOPLE!$F$14,$M117,AR$13))))</f>
        <v>2</v>
      </c>
      <c r="AS117" s="216">
        <f ca="1">IF($D117&lt;&gt;"Serviço",0,IF(AND(AUTOEVENTO="Manual",$M117=1),0,IF(OFFSET(CRONOPLE!$F$14,$M117,AS$13)="",10^12,OFFSET(CRONOPLE!$F$14,$M117,AS$13))))</f>
        <v>2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hidden="1" x14ac:dyDescent="0.2">
      <c r="A118" s="9" t="str">
        <f t="shared" ca="1" si="17"/>
        <v>36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6</v>
      </c>
      <c r="N118" s="212" t="str">
        <f ca="1">IF($D118&lt;&gt;"Serviço","",IF(AUTOEVENTO="Manual",IF($A118=0,"&lt;-- defina o número do agrupador",OFFSET(EVENTOS!$D$14,$A118,0)),OFFSET($F$15,$A118,0)))</f>
        <v>ENSAIOS TECNOLÓGICOS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</v>
      </c>
      <c r="AN118" s="216">
        <f ca="1">IF($D118&lt;&gt;"Serviço",0,IF(AND(AUTOEVENTO="Manual",$M118=1),0,IF(OFFSET(CRONOPLE!$F$14,$M118,AN$13)="",10^12,OFFSET(CRONOPLE!$F$14,$M118,AN$13))))</f>
        <v>1</v>
      </c>
      <c r="AO118" s="216">
        <f ca="1">IF($D118&lt;&gt;"Serviço",0,IF(AND(AUTOEVENTO="Manual",$M118=1),0,IF(OFFSET(CRONOPLE!$F$14,$M118,AO$13)="",10^12,OFFSET(CRONOPLE!$F$14,$M118,AO$13))))</f>
        <v>1</v>
      </c>
      <c r="AP118" s="216">
        <f ca="1">IF($D118&lt;&gt;"Serviço",0,IF(AND(AUTOEVENTO="Manual",$M118=1),0,IF(OFFSET(CRONOPLE!$F$14,$M118,AP$13)="",10^12,OFFSET(CRONOPLE!$F$14,$M118,AP$13))))</f>
        <v>1</v>
      </c>
      <c r="AQ118" s="216">
        <f ca="1">IF($D118&lt;&gt;"Serviço",0,IF(AND(AUTOEVENTO="Manual",$M118=1),0,IF(OFFSET(CRONOPLE!$F$14,$M118,AQ$13)="",10^12,OFFSET(CRONOPLE!$F$14,$M118,AQ$13))))</f>
        <v>2</v>
      </c>
      <c r="AR118" s="216">
        <f ca="1">IF($D118&lt;&gt;"Serviço",0,IF(AND(AUTOEVENTO="Manual",$M118=1),0,IF(OFFSET(CRONOPLE!$F$14,$M118,AR$13)="",10^12,OFFSET(CRONOPLE!$F$14,$M118,AR$13))))</f>
        <v>2</v>
      </c>
      <c r="AS118" s="216">
        <f ca="1">IF($D118&lt;&gt;"Serviço",0,IF(AND(AUTOEVENTO="Manual",$M118=1),0,IF(OFFSET(CRONOPLE!$F$14,$M118,AS$13)="",10^12,OFFSET(CRONOPLE!$F$14,$M118,AS$13))))</f>
        <v>2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hidden="1" x14ac:dyDescent="0.2">
      <c r="A119" s="9" t="str">
        <f t="shared" ca="1" si="17"/>
        <v>36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6</v>
      </c>
      <c r="N119" s="212" t="str">
        <f ca="1">IF($D119&lt;&gt;"Serviço","",IF(AUTOEVENTO="Manual",IF($A119=0,"&lt;-- defina o número do agrupador",OFFSET(EVENTOS!$D$14,$A119,0)),OFFSET($F$15,$A119,0)))</f>
        <v>ENSAIOS TECNOLÓGICOS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</v>
      </c>
      <c r="AN119" s="216">
        <f ca="1">IF($D119&lt;&gt;"Serviço",0,IF(AND(AUTOEVENTO="Manual",$M119=1),0,IF(OFFSET(CRONOPLE!$F$14,$M119,AN$13)="",10^12,OFFSET(CRONOPLE!$F$14,$M119,AN$13))))</f>
        <v>1</v>
      </c>
      <c r="AO119" s="216">
        <f ca="1">IF($D119&lt;&gt;"Serviço",0,IF(AND(AUTOEVENTO="Manual",$M119=1),0,IF(OFFSET(CRONOPLE!$F$14,$M119,AO$13)="",10^12,OFFSET(CRONOPLE!$F$14,$M119,AO$13))))</f>
        <v>1</v>
      </c>
      <c r="AP119" s="216">
        <f ca="1">IF($D119&lt;&gt;"Serviço",0,IF(AND(AUTOEVENTO="Manual",$M119=1),0,IF(OFFSET(CRONOPLE!$F$14,$M119,AP$13)="",10^12,OFFSET(CRONOPLE!$F$14,$M119,AP$13))))</f>
        <v>1</v>
      </c>
      <c r="AQ119" s="216">
        <f ca="1">IF($D119&lt;&gt;"Serviço",0,IF(AND(AUTOEVENTO="Manual",$M119=1),0,IF(OFFSET(CRONOPLE!$F$14,$M119,AQ$13)="",10^12,OFFSET(CRONOPLE!$F$14,$M119,AQ$13))))</f>
        <v>2</v>
      </c>
      <c r="AR119" s="216">
        <f ca="1">IF($D119&lt;&gt;"Serviço",0,IF(AND(AUTOEVENTO="Manual",$M119=1),0,IF(OFFSET(CRONOPLE!$F$14,$M119,AR$13)="",10^12,OFFSET(CRONOPLE!$F$14,$M119,AR$13))))</f>
        <v>2</v>
      </c>
      <c r="AS119" s="216">
        <f ca="1">IF($D119&lt;&gt;"Serviço",0,IF(AND(AUTOEVENTO="Manual",$M119=1),0,IF(OFFSET(CRONOPLE!$F$14,$M119,AS$13)="",10^12,OFFSET(CRONOPLE!$F$14,$M119,AS$13))))</f>
        <v>2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hidden="1" x14ac:dyDescent="0.2">
      <c r="A120" s="9" t="str">
        <f t="shared" ca="1" si="17"/>
        <v>36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6</v>
      </c>
      <c r="N120" s="212" t="str">
        <f ca="1">IF($D120&lt;&gt;"Serviço","",IF(AUTOEVENTO="Manual",IF($A120=0,"&lt;-- defina o número do agrupador",OFFSET(EVENTOS!$D$14,$A120,0)),OFFSET($F$15,$A120,0)))</f>
        <v>ENSAIOS TECNOLÓGICOS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</v>
      </c>
      <c r="AN120" s="216">
        <f ca="1">IF($D120&lt;&gt;"Serviço",0,IF(AND(AUTOEVENTO="Manual",$M120=1),0,IF(OFFSET(CRONOPLE!$F$14,$M120,AN$13)="",10^12,OFFSET(CRONOPLE!$F$14,$M120,AN$13))))</f>
        <v>1</v>
      </c>
      <c r="AO120" s="216">
        <f ca="1">IF($D120&lt;&gt;"Serviço",0,IF(AND(AUTOEVENTO="Manual",$M120=1),0,IF(OFFSET(CRONOPLE!$F$14,$M120,AO$13)="",10^12,OFFSET(CRONOPLE!$F$14,$M120,AO$13))))</f>
        <v>1</v>
      </c>
      <c r="AP120" s="216">
        <f ca="1">IF($D120&lt;&gt;"Serviço",0,IF(AND(AUTOEVENTO="Manual",$M120=1),0,IF(OFFSET(CRONOPLE!$F$14,$M120,AP$13)="",10^12,OFFSET(CRONOPLE!$F$14,$M120,AP$13))))</f>
        <v>1</v>
      </c>
      <c r="AQ120" s="216">
        <f ca="1">IF($D120&lt;&gt;"Serviço",0,IF(AND(AUTOEVENTO="Manual",$M120=1),0,IF(OFFSET(CRONOPLE!$F$14,$M120,AQ$13)="",10^12,OFFSET(CRONOPLE!$F$14,$M120,AQ$13))))</f>
        <v>2</v>
      </c>
      <c r="AR120" s="216">
        <f ca="1">IF($D120&lt;&gt;"Serviço",0,IF(AND(AUTOEVENTO="Manual",$M120=1),0,IF(OFFSET(CRONOPLE!$F$14,$M120,AR$13)="",10^12,OFFSET(CRONOPLE!$F$14,$M120,AR$13))))</f>
        <v>2</v>
      </c>
      <c r="AS120" s="216">
        <f ca="1">IF($D120&lt;&gt;"Serviço",0,IF(AND(AUTOEVENTO="Manual",$M120=1),0,IF(OFFSET(CRONOPLE!$F$14,$M120,AS$13)="",10^12,OFFSET(CRONOPLE!$F$14,$M120,AS$13))))</f>
        <v>2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hidden="1" x14ac:dyDescent="0.2">
      <c r="A121" s="9" t="str">
        <f t="shared" ca="1" si="17"/>
        <v>36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6</v>
      </c>
      <c r="N121" s="212" t="str">
        <f ca="1">IF($D121&lt;&gt;"Serviço","",IF(AUTOEVENTO="Manual",IF($A121=0,"&lt;-- defina o número do agrupador",OFFSET(EVENTOS!$D$14,$A121,0)),OFFSET($F$15,$A121,0)))</f>
        <v>ENSAIOS TECNOLÓGICOS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</v>
      </c>
      <c r="AN121" s="216">
        <f ca="1">IF($D121&lt;&gt;"Serviço",0,IF(AND(AUTOEVENTO="Manual",$M121=1),0,IF(OFFSET(CRONOPLE!$F$14,$M121,AN$13)="",10^12,OFFSET(CRONOPLE!$F$14,$M121,AN$13))))</f>
        <v>1</v>
      </c>
      <c r="AO121" s="216">
        <f ca="1">IF($D121&lt;&gt;"Serviço",0,IF(AND(AUTOEVENTO="Manual",$M121=1),0,IF(OFFSET(CRONOPLE!$F$14,$M121,AO$13)="",10^12,OFFSET(CRONOPLE!$F$14,$M121,AO$13))))</f>
        <v>1</v>
      </c>
      <c r="AP121" s="216">
        <f ca="1">IF($D121&lt;&gt;"Serviço",0,IF(AND(AUTOEVENTO="Manual",$M121=1),0,IF(OFFSET(CRONOPLE!$F$14,$M121,AP$13)="",10^12,OFFSET(CRONOPLE!$F$14,$M121,AP$13))))</f>
        <v>1</v>
      </c>
      <c r="AQ121" s="216">
        <f ca="1">IF($D121&lt;&gt;"Serviço",0,IF(AND(AUTOEVENTO="Manual",$M121=1),0,IF(OFFSET(CRONOPLE!$F$14,$M121,AQ$13)="",10^12,OFFSET(CRONOPLE!$F$14,$M121,AQ$13))))</f>
        <v>2</v>
      </c>
      <c r="AR121" s="216">
        <f ca="1">IF($D121&lt;&gt;"Serviço",0,IF(AND(AUTOEVENTO="Manual",$M121=1),0,IF(OFFSET(CRONOPLE!$F$14,$M121,AR$13)="",10^12,OFFSET(CRONOPLE!$F$14,$M121,AR$13))))</f>
        <v>2</v>
      </c>
      <c r="AS121" s="216">
        <f ca="1">IF($D121&lt;&gt;"Serviço",0,IF(AND(AUTOEVENTO="Manual",$M121=1),0,IF(OFFSET(CRONOPLE!$F$14,$M121,AS$13)="",10^12,OFFSET(CRONOPLE!$F$14,$M121,AS$13))))</f>
        <v>2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hidden="1" x14ac:dyDescent="0.2">
      <c r="A122" s="9" t="str">
        <f t="shared" ca="1" si="17"/>
        <v>36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6</v>
      </c>
      <c r="N122" s="212" t="str">
        <f ca="1">IF($D122&lt;&gt;"Serviço","",IF(AUTOEVENTO="Manual",IF($A122=0,"&lt;-- defina o número do agrupador",OFFSET(EVENTOS!$D$14,$A122,0)),OFFSET($F$15,$A122,0)))</f>
        <v>ENSAIOS TECNOLÓGICOS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</v>
      </c>
      <c r="AN122" s="216">
        <f ca="1">IF($D122&lt;&gt;"Serviço",0,IF(AND(AUTOEVENTO="Manual",$M122=1),0,IF(OFFSET(CRONOPLE!$F$14,$M122,AN$13)="",10^12,OFFSET(CRONOPLE!$F$14,$M122,AN$13))))</f>
        <v>1</v>
      </c>
      <c r="AO122" s="216">
        <f ca="1">IF($D122&lt;&gt;"Serviço",0,IF(AND(AUTOEVENTO="Manual",$M122=1),0,IF(OFFSET(CRONOPLE!$F$14,$M122,AO$13)="",10^12,OFFSET(CRONOPLE!$F$14,$M122,AO$13))))</f>
        <v>1</v>
      </c>
      <c r="AP122" s="216">
        <f ca="1">IF($D122&lt;&gt;"Serviço",0,IF(AND(AUTOEVENTO="Manual",$M122=1),0,IF(OFFSET(CRONOPLE!$F$14,$M122,AP$13)="",10^12,OFFSET(CRONOPLE!$F$14,$M122,AP$13))))</f>
        <v>1</v>
      </c>
      <c r="AQ122" s="216">
        <f ca="1">IF($D122&lt;&gt;"Serviço",0,IF(AND(AUTOEVENTO="Manual",$M122=1),0,IF(OFFSET(CRONOPLE!$F$14,$M122,AQ$13)="",10^12,OFFSET(CRONOPLE!$F$14,$M122,AQ$13))))</f>
        <v>2</v>
      </c>
      <c r="AR122" s="216">
        <f ca="1">IF($D122&lt;&gt;"Serviço",0,IF(AND(AUTOEVENTO="Manual",$M122=1),0,IF(OFFSET(CRONOPLE!$F$14,$M122,AR$13)="",10^12,OFFSET(CRONOPLE!$F$14,$M122,AR$13))))</f>
        <v>2</v>
      </c>
      <c r="AS122" s="216">
        <f ca="1">IF($D122&lt;&gt;"Serviço",0,IF(AND(AUTOEVENTO="Manual",$M122=1),0,IF(OFFSET(CRONOPLE!$F$14,$M122,AS$13)="",10^12,OFFSET(CRONOPLE!$F$14,$M122,AS$13))))</f>
        <v>2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hidden="1" x14ac:dyDescent="0.2">
      <c r="A123" s="9" t="str">
        <f t="shared" ca="1" si="17"/>
        <v>36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6</v>
      </c>
      <c r="N123" s="212" t="str">
        <f ca="1">IF($D123&lt;&gt;"Serviço","",IF(AUTOEVENTO="Manual",IF($A123=0,"&lt;-- defina o número do agrupador",OFFSET(EVENTOS!$D$14,$A123,0)),OFFSET($F$15,$A123,0)))</f>
        <v>ENSAIOS TECNOLÓGICOS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</v>
      </c>
      <c r="AN123" s="216">
        <f ca="1">IF($D123&lt;&gt;"Serviço",0,IF(AND(AUTOEVENTO="Manual",$M123=1),0,IF(OFFSET(CRONOPLE!$F$14,$M123,AN$13)="",10^12,OFFSET(CRONOPLE!$F$14,$M123,AN$13))))</f>
        <v>1</v>
      </c>
      <c r="AO123" s="216">
        <f ca="1">IF($D123&lt;&gt;"Serviço",0,IF(AND(AUTOEVENTO="Manual",$M123=1),0,IF(OFFSET(CRONOPLE!$F$14,$M123,AO$13)="",10^12,OFFSET(CRONOPLE!$F$14,$M123,AO$13))))</f>
        <v>1</v>
      </c>
      <c r="AP123" s="216">
        <f ca="1">IF($D123&lt;&gt;"Serviço",0,IF(AND(AUTOEVENTO="Manual",$M123=1),0,IF(OFFSET(CRONOPLE!$F$14,$M123,AP$13)="",10^12,OFFSET(CRONOPLE!$F$14,$M123,AP$13))))</f>
        <v>1</v>
      </c>
      <c r="AQ123" s="216">
        <f ca="1">IF($D123&lt;&gt;"Serviço",0,IF(AND(AUTOEVENTO="Manual",$M123=1),0,IF(OFFSET(CRONOPLE!$F$14,$M123,AQ$13)="",10^12,OFFSET(CRONOPLE!$F$14,$M123,AQ$13))))</f>
        <v>2</v>
      </c>
      <c r="AR123" s="216">
        <f ca="1">IF($D123&lt;&gt;"Serviço",0,IF(AND(AUTOEVENTO="Manual",$M123=1),0,IF(OFFSET(CRONOPLE!$F$14,$M123,AR$13)="",10^12,OFFSET(CRONOPLE!$F$14,$M123,AR$13))))</f>
        <v>2</v>
      </c>
      <c r="AS123" s="216">
        <f ca="1">IF($D123&lt;&gt;"Serviço",0,IF(AND(AUTOEVENTO="Manual",$M123=1),0,IF(OFFSET(CRONOPLE!$F$14,$M123,AS$13)="",10^12,OFFSET(CRONOPLE!$F$14,$M123,AS$13))))</f>
        <v>2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hidden="1" x14ac:dyDescent="0.2">
      <c r="A124" s="9" t="str">
        <f t="shared" ca="1" si="17"/>
        <v>36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6</v>
      </c>
      <c r="N124" s="212" t="str">
        <f ca="1">IF($D124&lt;&gt;"Serviço","",IF(AUTOEVENTO="Manual",IF($A124=0,"&lt;-- defina o número do agrupador",OFFSET(EVENTOS!$D$14,$A124,0)),OFFSET($F$15,$A124,0)))</f>
        <v>ENSAIOS TECNOLÓGICOS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</v>
      </c>
      <c r="AN124" s="216">
        <f ca="1">IF($D124&lt;&gt;"Serviço",0,IF(AND(AUTOEVENTO="Manual",$M124=1),0,IF(OFFSET(CRONOPLE!$F$14,$M124,AN$13)="",10^12,OFFSET(CRONOPLE!$F$14,$M124,AN$13))))</f>
        <v>1</v>
      </c>
      <c r="AO124" s="216">
        <f ca="1">IF($D124&lt;&gt;"Serviço",0,IF(AND(AUTOEVENTO="Manual",$M124=1),0,IF(OFFSET(CRONOPLE!$F$14,$M124,AO$13)="",10^12,OFFSET(CRONOPLE!$F$14,$M124,AO$13))))</f>
        <v>1</v>
      </c>
      <c r="AP124" s="216">
        <f ca="1">IF($D124&lt;&gt;"Serviço",0,IF(AND(AUTOEVENTO="Manual",$M124=1),0,IF(OFFSET(CRONOPLE!$F$14,$M124,AP$13)="",10^12,OFFSET(CRONOPLE!$F$14,$M124,AP$13))))</f>
        <v>1</v>
      </c>
      <c r="AQ124" s="216">
        <f ca="1">IF($D124&lt;&gt;"Serviço",0,IF(AND(AUTOEVENTO="Manual",$M124=1),0,IF(OFFSET(CRONOPLE!$F$14,$M124,AQ$13)="",10^12,OFFSET(CRONOPLE!$F$14,$M124,AQ$13))))</f>
        <v>2</v>
      </c>
      <c r="AR124" s="216">
        <f ca="1">IF($D124&lt;&gt;"Serviço",0,IF(AND(AUTOEVENTO="Manual",$M124=1),0,IF(OFFSET(CRONOPLE!$F$14,$M124,AR$13)="",10^12,OFFSET(CRONOPLE!$F$14,$M124,AR$13))))</f>
        <v>2</v>
      </c>
      <c r="AS124" s="216">
        <f ca="1">IF($D124&lt;&gt;"Serviço",0,IF(AND(AUTOEVENTO="Manual",$M124=1),0,IF(OFFSET(CRONOPLE!$F$14,$M124,AS$13)="",10^12,OFFSET(CRONOPLE!$F$14,$M124,AS$13))))</f>
        <v>2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hidden="1" x14ac:dyDescent="0.2">
      <c r="A125" s="9" t="str">
        <f t="shared" ca="1" si="17"/>
        <v>36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6</v>
      </c>
      <c r="N125" s="212" t="str">
        <f ca="1">IF($D125&lt;&gt;"Serviço","",IF(AUTOEVENTO="Manual",IF($A125=0,"&lt;-- defina o número do agrupador",OFFSET(EVENTOS!$D$14,$A125,0)),OFFSET($F$15,$A125,0)))</f>
        <v>ENSAIOS TECNOLÓGICOS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</v>
      </c>
      <c r="AN125" s="216">
        <f ca="1">IF($D125&lt;&gt;"Serviço",0,IF(AND(AUTOEVENTO="Manual",$M125=1),0,IF(OFFSET(CRONOPLE!$F$14,$M125,AN$13)="",10^12,OFFSET(CRONOPLE!$F$14,$M125,AN$13))))</f>
        <v>1</v>
      </c>
      <c r="AO125" s="216">
        <f ca="1">IF($D125&lt;&gt;"Serviço",0,IF(AND(AUTOEVENTO="Manual",$M125=1),0,IF(OFFSET(CRONOPLE!$F$14,$M125,AO$13)="",10^12,OFFSET(CRONOPLE!$F$14,$M125,AO$13))))</f>
        <v>1</v>
      </c>
      <c r="AP125" s="216">
        <f ca="1">IF($D125&lt;&gt;"Serviço",0,IF(AND(AUTOEVENTO="Manual",$M125=1),0,IF(OFFSET(CRONOPLE!$F$14,$M125,AP$13)="",10^12,OFFSET(CRONOPLE!$F$14,$M125,AP$13))))</f>
        <v>1</v>
      </c>
      <c r="AQ125" s="216">
        <f ca="1">IF($D125&lt;&gt;"Serviço",0,IF(AND(AUTOEVENTO="Manual",$M125=1),0,IF(OFFSET(CRONOPLE!$F$14,$M125,AQ$13)="",10^12,OFFSET(CRONOPLE!$F$14,$M125,AQ$13))))</f>
        <v>2</v>
      </c>
      <c r="AR125" s="216">
        <f ca="1">IF($D125&lt;&gt;"Serviço",0,IF(AND(AUTOEVENTO="Manual",$M125=1),0,IF(OFFSET(CRONOPLE!$F$14,$M125,AR$13)="",10^12,OFFSET(CRONOPLE!$F$14,$M125,AR$13))))</f>
        <v>2</v>
      </c>
      <c r="AS125" s="216">
        <f ca="1">IF($D125&lt;&gt;"Serviço",0,IF(AND(AUTOEVENTO="Manual",$M125=1),0,IF(OFFSET(CRONOPLE!$F$14,$M125,AS$13)="",10^12,OFFSET(CRONOPLE!$F$14,$M125,AS$13))))</f>
        <v>2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hidden="1" x14ac:dyDescent="0.2">
      <c r="A126" s="9" t="str">
        <f t="shared" ca="1" si="17"/>
        <v>36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6</v>
      </c>
      <c r="N126" s="212" t="str">
        <f ca="1">IF($D126&lt;&gt;"Serviço","",IF(AUTOEVENTO="Manual",IF($A126=0,"&lt;-- defina o número do agrupador",OFFSET(EVENTOS!$D$14,$A126,0)),OFFSET($F$15,$A126,0)))</f>
        <v>ENSAIOS TECNOLÓGICOS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</v>
      </c>
      <c r="AN126" s="216">
        <f ca="1">IF($D126&lt;&gt;"Serviço",0,IF(AND(AUTOEVENTO="Manual",$M126=1),0,IF(OFFSET(CRONOPLE!$F$14,$M126,AN$13)="",10^12,OFFSET(CRONOPLE!$F$14,$M126,AN$13))))</f>
        <v>1</v>
      </c>
      <c r="AO126" s="216">
        <f ca="1">IF($D126&lt;&gt;"Serviço",0,IF(AND(AUTOEVENTO="Manual",$M126=1),0,IF(OFFSET(CRONOPLE!$F$14,$M126,AO$13)="",10^12,OFFSET(CRONOPLE!$F$14,$M126,AO$13))))</f>
        <v>1</v>
      </c>
      <c r="AP126" s="216">
        <f ca="1">IF($D126&lt;&gt;"Serviço",0,IF(AND(AUTOEVENTO="Manual",$M126=1),0,IF(OFFSET(CRONOPLE!$F$14,$M126,AP$13)="",10^12,OFFSET(CRONOPLE!$F$14,$M126,AP$13))))</f>
        <v>1</v>
      </c>
      <c r="AQ126" s="216">
        <f ca="1">IF($D126&lt;&gt;"Serviço",0,IF(AND(AUTOEVENTO="Manual",$M126=1),0,IF(OFFSET(CRONOPLE!$F$14,$M126,AQ$13)="",10^12,OFFSET(CRONOPLE!$F$14,$M126,AQ$13))))</f>
        <v>2</v>
      </c>
      <c r="AR126" s="216">
        <f ca="1">IF($D126&lt;&gt;"Serviço",0,IF(AND(AUTOEVENTO="Manual",$M126=1),0,IF(OFFSET(CRONOPLE!$F$14,$M126,AR$13)="",10^12,OFFSET(CRONOPLE!$F$14,$M126,AR$13))))</f>
        <v>2</v>
      </c>
      <c r="AS126" s="216">
        <f ca="1">IF($D126&lt;&gt;"Serviço",0,IF(AND(AUTOEVENTO="Manual",$M126=1),0,IF(OFFSET(CRONOPLE!$F$14,$M126,AS$13)="",10^12,OFFSET(CRONOPLE!$F$14,$M126,AS$13))))</f>
        <v>2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hidden="1" x14ac:dyDescent="0.2">
      <c r="A127" s="9" t="str">
        <f t="shared" ca="1" si="17"/>
        <v>36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6</v>
      </c>
      <c r="N127" s="212" t="str">
        <f ca="1">IF($D127&lt;&gt;"Serviço","",IF(AUTOEVENTO="Manual",IF($A127=0,"&lt;-- defina o número do agrupador",OFFSET(EVENTOS!$D$14,$A127,0)),OFFSET($F$15,$A127,0)))</f>
        <v>ENSAIOS TECNOLÓGICOS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</v>
      </c>
      <c r="AN127" s="216">
        <f ca="1">IF($D127&lt;&gt;"Serviço",0,IF(AND(AUTOEVENTO="Manual",$M127=1),0,IF(OFFSET(CRONOPLE!$F$14,$M127,AN$13)="",10^12,OFFSET(CRONOPLE!$F$14,$M127,AN$13))))</f>
        <v>1</v>
      </c>
      <c r="AO127" s="216">
        <f ca="1">IF($D127&lt;&gt;"Serviço",0,IF(AND(AUTOEVENTO="Manual",$M127=1),0,IF(OFFSET(CRONOPLE!$F$14,$M127,AO$13)="",10^12,OFFSET(CRONOPLE!$F$14,$M127,AO$13))))</f>
        <v>1</v>
      </c>
      <c r="AP127" s="216">
        <f ca="1">IF($D127&lt;&gt;"Serviço",0,IF(AND(AUTOEVENTO="Manual",$M127=1),0,IF(OFFSET(CRONOPLE!$F$14,$M127,AP$13)="",10^12,OFFSET(CRONOPLE!$F$14,$M127,AP$13))))</f>
        <v>1</v>
      </c>
      <c r="AQ127" s="216">
        <f ca="1">IF($D127&lt;&gt;"Serviço",0,IF(AND(AUTOEVENTO="Manual",$M127=1),0,IF(OFFSET(CRONOPLE!$F$14,$M127,AQ$13)="",10^12,OFFSET(CRONOPLE!$F$14,$M127,AQ$13))))</f>
        <v>2</v>
      </c>
      <c r="AR127" s="216">
        <f ca="1">IF($D127&lt;&gt;"Serviço",0,IF(AND(AUTOEVENTO="Manual",$M127=1),0,IF(OFFSET(CRONOPLE!$F$14,$M127,AR$13)="",10^12,OFFSET(CRONOPLE!$F$14,$M127,AR$13))))</f>
        <v>2</v>
      </c>
      <c r="AS127" s="216">
        <f ca="1">IF($D127&lt;&gt;"Serviço",0,IF(AND(AUTOEVENTO="Manual",$M127=1),0,IF(OFFSET(CRONOPLE!$F$14,$M127,AS$13)="",10^12,OFFSET(CRONOPLE!$F$14,$M127,AS$13))))</f>
        <v>2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hidden="1" x14ac:dyDescent="0.2">
      <c r="A128" s="9" t="str">
        <f t="shared" ca="1" si="17"/>
        <v>36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6</v>
      </c>
      <c r="N128" s="212" t="str">
        <f ca="1">IF($D128&lt;&gt;"Serviço","",IF(AUTOEVENTO="Manual",IF($A128=0,"&lt;-- defina o número do agrupador",OFFSET(EVENTOS!$D$14,$A128,0)),OFFSET($F$15,$A128,0)))</f>
        <v>ENSAIOS TECNOLÓGICOS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</v>
      </c>
      <c r="AN128" s="216">
        <f ca="1">IF($D128&lt;&gt;"Serviço",0,IF(AND(AUTOEVENTO="Manual",$M128=1),0,IF(OFFSET(CRONOPLE!$F$14,$M128,AN$13)="",10^12,OFFSET(CRONOPLE!$F$14,$M128,AN$13))))</f>
        <v>1</v>
      </c>
      <c r="AO128" s="216">
        <f ca="1">IF($D128&lt;&gt;"Serviço",0,IF(AND(AUTOEVENTO="Manual",$M128=1),0,IF(OFFSET(CRONOPLE!$F$14,$M128,AO$13)="",10^12,OFFSET(CRONOPLE!$F$14,$M128,AO$13))))</f>
        <v>1</v>
      </c>
      <c r="AP128" s="216">
        <f ca="1">IF($D128&lt;&gt;"Serviço",0,IF(AND(AUTOEVENTO="Manual",$M128=1),0,IF(OFFSET(CRONOPLE!$F$14,$M128,AP$13)="",10^12,OFFSET(CRONOPLE!$F$14,$M128,AP$13))))</f>
        <v>1</v>
      </c>
      <c r="AQ128" s="216">
        <f ca="1">IF($D128&lt;&gt;"Serviço",0,IF(AND(AUTOEVENTO="Manual",$M128=1),0,IF(OFFSET(CRONOPLE!$F$14,$M128,AQ$13)="",10^12,OFFSET(CRONOPLE!$F$14,$M128,AQ$13))))</f>
        <v>2</v>
      </c>
      <c r="AR128" s="216">
        <f ca="1">IF($D128&lt;&gt;"Serviço",0,IF(AND(AUTOEVENTO="Manual",$M128=1),0,IF(OFFSET(CRONOPLE!$F$14,$M128,AR$13)="",10^12,OFFSET(CRONOPLE!$F$14,$M128,AR$13))))</f>
        <v>2</v>
      </c>
      <c r="AS128" s="216">
        <f ca="1">IF($D128&lt;&gt;"Serviço",0,IF(AND(AUTOEVENTO="Manual",$M128=1),0,IF(OFFSET(CRONOPLE!$F$14,$M128,AS$13)="",10^12,OFFSET(CRONOPLE!$F$14,$M128,AS$13))))</f>
        <v>2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hidden="1" x14ac:dyDescent="0.2">
      <c r="A129" s="9" t="str">
        <f t="shared" ca="1" si="17"/>
        <v>36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6</v>
      </c>
      <c r="N129" s="212" t="str">
        <f ca="1">IF($D129&lt;&gt;"Serviço","",IF(AUTOEVENTO="Manual",IF($A129=0,"&lt;-- defina o número do agrupador",OFFSET(EVENTOS!$D$14,$A129,0)),OFFSET($F$15,$A129,0)))</f>
        <v>ENSAIOS TECNOLÓGICOS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</v>
      </c>
      <c r="AN129" s="216">
        <f ca="1">IF($D129&lt;&gt;"Serviço",0,IF(AND(AUTOEVENTO="Manual",$M129=1),0,IF(OFFSET(CRONOPLE!$F$14,$M129,AN$13)="",10^12,OFFSET(CRONOPLE!$F$14,$M129,AN$13))))</f>
        <v>1</v>
      </c>
      <c r="AO129" s="216">
        <f ca="1">IF($D129&lt;&gt;"Serviço",0,IF(AND(AUTOEVENTO="Manual",$M129=1),0,IF(OFFSET(CRONOPLE!$F$14,$M129,AO$13)="",10^12,OFFSET(CRONOPLE!$F$14,$M129,AO$13))))</f>
        <v>1</v>
      </c>
      <c r="AP129" s="216">
        <f ca="1">IF($D129&lt;&gt;"Serviço",0,IF(AND(AUTOEVENTO="Manual",$M129=1),0,IF(OFFSET(CRONOPLE!$F$14,$M129,AP$13)="",10^12,OFFSET(CRONOPLE!$F$14,$M129,AP$13))))</f>
        <v>1</v>
      </c>
      <c r="AQ129" s="216">
        <f ca="1">IF($D129&lt;&gt;"Serviço",0,IF(AND(AUTOEVENTO="Manual",$M129=1),0,IF(OFFSET(CRONOPLE!$F$14,$M129,AQ$13)="",10^12,OFFSET(CRONOPLE!$F$14,$M129,AQ$13))))</f>
        <v>2</v>
      </c>
      <c r="AR129" s="216">
        <f ca="1">IF($D129&lt;&gt;"Serviço",0,IF(AND(AUTOEVENTO="Manual",$M129=1),0,IF(OFFSET(CRONOPLE!$F$14,$M129,AR$13)="",10^12,OFFSET(CRONOPLE!$F$14,$M129,AR$13))))</f>
        <v>2</v>
      </c>
      <c r="AS129" s="216">
        <f ca="1">IF($D129&lt;&gt;"Serviço",0,IF(AND(AUTOEVENTO="Manual",$M129=1),0,IF(OFFSET(CRONOPLE!$F$14,$M129,AS$13)="",10^12,OFFSET(CRONOPLE!$F$14,$M129,AS$13))))</f>
        <v>2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hidden="1" x14ac:dyDescent="0.2">
      <c r="A130" s="9" t="str">
        <f t="shared" ca="1" si="17"/>
        <v>36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6</v>
      </c>
      <c r="N130" s="212" t="str">
        <f ca="1">IF($D130&lt;&gt;"Serviço","",IF(AUTOEVENTO="Manual",IF($A130=0,"&lt;-- defina o número do agrupador",OFFSET(EVENTOS!$D$14,$A130,0)),OFFSET($F$15,$A130,0)))</f>
        <v>ENSAIOS TECNOLÓGICOS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</v>
      </c>
      <c r="AN130" s="216">
        <f ca="1">IF($D130&lt;&gt;"Serviço",0,IF(AND(AUTOEVENTO="Manual",$M130=1),0,IF(OFFSET(CRONOPLE!$F$14,$M130,AN$13)="",10^12,OFFSET(CRONOPLE!$F$14,$M130,AN$13))))</f>
        <v>1</v>
      </c>
      <c r="AO130" s="216">
        <f ca="1">IF($D130&lt;&gt;"Serviço",0,IF(AND(AUTOEVENTO="Manual",$M130=1),0,IF(OFFSET(CRONOPLE!$F$14,$M130,AO$13)="",10^12,OFFSET(CRONOPLE!$F$14,$M130,AO$13))))</f>
        <v>1</v>
      </c>
      <c r="AP130" s="216">
        <f ca="1">IF($D130&lt;&gt;"Serviço",0,IF(AND(AUTOEVENTO="Manual",$M130=1),0,IF(OFFSET(CRONOPLE!$F$14,$M130,AP$13)="",10^12,OFFSET(CRONOPLE!$F$14,$M130,AP$13))))</f>
        <v>1</v>
      </c>
      <c r="AQ130" s="216">
        <f ca="1">IF($D130&lt;&gt;"Serviço",0,IF(AND(AUTOEVENTO="Manual",$M130=1),0,IF(OFFSET(CRONOPLE!$F$14,$M130,AQ$13)="",10^12,OFFSET(CRONOPLE!$F$14,$M130,AQ$13))))</f>
        <v>2</v>
      </c>
      <c r="AR130" s="216">
        <f ca="1">IF($D130&lt;&gt;"Serviço",0,IF(AND(AUTOEVENTO="Manual",$M130=1),0,IF(OFFSET(CRONOPLE!$F$14,$M130,AR$13)="",10^12,OFFSET(CRONOPLE!$F$14,$M130,AR$13))))</f>
        <v>2</v>
      </c>
      <c r="AS130" s="216">
        <f ca="1">IF($D130&lt;&gt;"Serviço",0,IF(AND(AUTOEVENTO="Manual",$M130=1),0,IF(OFFSET(CRONOPLE!$F$14,$M130,AS$13)="",10^12,OFFSET(CRONOPLE!$F$14,$M130,AS$13))))</f>
        <v>2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hidden="1" x14ac:dyDescent="0.2">
      <c r="A131" s="9" t="str">
        <f t="shared" ca="1" si="17"/>
        <v>36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6</v>
      </c>
      <c r="N131" s="212" t="str">
        <f ca="1">IF($D131&lt;&gt;"Serviço","",IF(AUTOEVENTO="Manual",IF($A131=0,"&lt;-- defina o número do agrupador",OFFSET(EVENTOS!$D$14,$A131,0)),OFFSET($F$15,$A131,0)))</f>
        <v>ENSAIOS TECNOLÓGICOS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</v>
      </c>
      <c r="AN131" s="216">
        <f ca="1">IF($D131&lt;&gt;"Serviço",0,IF(AND(AUTOEVENTO="Manual",$M131=1),0,IF(OFFSET(CRONOPLE!$F$14,$M131,AN$13)="",10^12,OFFSET(CRONOPLE!$F$14,$M131,AN$13))))</f>
        <v>1</v>
      </c>
      <c r="AO131" s="216">
        <f ca="1">IF($D131&lt;&gt;"Serviço",0,IF(AND(AUTOEVENTO="Manual",$M131=1),0,IF(OFFSET(CRONOPLE!$F$14,$M131,AO$13)="",10^12,OFFSET(CRONOPLE!$F$14,$M131,AO$13))))</f>
        <v>1</v>
      </c>
      <c r="AP131" s="216">
        <f ca="1">IF($D131&lt;&gt;"Serviço",0,IF(AND(AUTOEVENTO="Manual",$M131=1),0,IF(OFFSET(CRONOPLE!$F$14,$M131,AP$13)="",10^12,OFFSET(CRONOPLE!$F$14,$M131,AP$13))))</f>
        <v>1</v>
      </c>
      <c r="AQ131" s="216">
        <f ca="1">IF($D131&lt;&gt;"Serviço",0,IF(AND(AUTOEVENTO="Manual",$M131=1),0,IF(OFFSET(CRONOPLE!$F$14,$M131,AQ$13)="",10^12,OFFSET(CRONOPLE!$F$14,$M131,AQ$13))))</f>
        <v>2</v>
      </c>
      <c r="AR131" s="216">
        <f ca="1">IF($D131&lt;&gt;"Serviço",0,IF(AND(AUTOEVENTO="Manual",$M131=1),0,IF(OFFSET(CRONOPLE!$F$14,$M131,AR$13)="",10^12,OFFSET(CRONOPLE!$F$14,$M131,AR$13))))</f>
        <v>2</v>
      </c>
      <c r="AS131" s="216">
        <f ca="1">IF($D131&lt;&gt;"Serviço",0,IF(AND(AUTOEVENTO="Manual",$M131=1),0,IF(OFFSET(CRONOPLE!$F$14,$M131,AS$13)="",10^12,OFFSET(CRONOPLE!$F$14,$M131,AS$13))))</f>
        <v>2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hidden="1" x14ac:dyDescent="0.2">
      <c r="A132" s="9" t="str">
        <f t="shared" ca="1" si="17"/>
        <v>36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6</v>
      </c>
      <c r="N132" s="212" t="str">
        <f ca="1">IF($D132&lt;&gt;"Serviço","",IF(AUTOEVENTO="Manual",IF($A132=0,"&lt;-- defina o número do agrupador",OFFSET(EVENTOS!$D$14,$A132,0)),OFFSET($F$15,$A132,0)))</f>
        <v>ENSAIOS TECNOLÓGICOS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</v>
      </c>
      <c r="AN132" s="216">
        <f ca="1">IF($D132&lt;&gt;"Serviço",0,IF(AND(AUTOEVENTO="Manual",$M132=1),0,IF(OFFSET(CRONOPLE!$F$14,$M132,AN$13)="",10^12,OFFSET(CRONOPLE!$F$14,$M132,AN$13))))</f>
        <v>1</v>
      </c>
      <c r="AO132" s="216">
        <f ca="1">IF($D132&lt;&gt;"Serviço",0,IF(AND(AUTOEVENTO="Manual",$M132=1),0,IF(OFFSET(CRONOPLE!$F$14,$M132,AO$13)="",10^12,OFFSET(CRONOPLE!$F$14,$M132,AO$13))))</f>
        <v>1</v>
      </c>
      <c r="AP132" s="216">
        <f ca="1">IF($D132&lt;&gt;"Serviço",0,IF(AND(AUTOEVENTO="Manual",$M132=1),0,IF(OFFSET(CRONOPLE!$F$14,$M132,AP$13)="",10^12,OFFSET(CRONOPLE!$F$14,$M132,AP$13))))</f>
        <v>1</v>
      </c>
      <c r="AQ132" s="216">
        <f ca="1">IF($D132&lt;&gt;"Serviço",0,IF(AND(AUTOEVENTO="Manual",$M132=1),0,IF(OFFSET(CRONOPLE!$F$14,$M132,AQ$13)="",10^12,OFFSET(CRONOPLE!$F$14,$M132,AQ$13))))</f>
        <v>2</v>
      </c>
      <c r="AR132" s="216">
        <f ca="1">IF($D132&lt;&gt;"Serviço",0,IF(AND(AUTOEVENTO="Manual",$M132=1),0,IF(OFFSET(CRONOPLE!$F$14,$M132,AR$13)="",10^12,OFFSET(CRONOPLE!$F$14,$M132,AR$13))))</f>
        <v>2</v>
      </c>
      <c r="AS132" s="216">
        <f ca="1">IF($D132&lt;&gt;"Serviço",0,IF(AND(AUTOEVENTO="Manual",$M132=1),0,IF(OFFSET(CRONOPLE!$F$14,$M132,AS$13)="",10^12,OFFSET(CRONOPLE!$F$14,$M132,AS$13))))</f>
        <v>2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hidden="1" x14ac:dyDescent="0.2">
      <c r="A133" s="9" t="str">
        <f t="shared" ca="1" si="17"/>
        <v>36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6</v>
      </c>
      <c r="N133" s="212" t="str">
        <f ca="1">IF($D133&lt;&gt;"Serviço","",IF(AUTOEVENTO="Manual",IF($A133=0,"&lt;-- defina o número do agrupador",OFFSET(EVENTOS!$D$14,$A133,0)),OFFSET($F$15,$A133,0)))</f>
        <v>ENSAIOS TECNOLÓGICOS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</v>
      </c>
      <c r="AN133" s="216">
        <f ca="1">IF($D133&lt;&gt;"Serviço",0,IF(AND(AUTOEVENTO="Manual",$M133=1),0,IF(OFFSET(CRONOPLE!$F$14,$M133,AN$13)="",10^12,OFFSET(CRONOPLE!$F$14,$M133,AN$13))))</f>
        <v>1</v>
      </c>
      <c r="AO133" s="216">
        <f ca="1">IF($D133&lt;&gt;"Serviço",0,IF(AND(AUTOEVENTO="Manual",$M133=1),0,IF(OFFSET(CRONOPLE!$F$14,$M133,AO$13)="",10^12,OFFSET(CRONOPLE!$F$14,$M133,AO$13))))</f>
        <v>1</v>
      </c>
      <c r="AP133" s="216">
        <f ca="1">IF($D133&lt;&gt;"Serviço",0,IF(AND(AUTOEVENTO="Manual",$M133=1),0,IF(OFFSET(CRONOPLE!$F$14,$M133,AP$13)="",10^12,OFFSET(CRONOPLE!$F$14,$M133,AP$13))))</f>
        <v>1</v>
      </c>
      <c r="AQ133" s="216">
        <f ca="1">IF($D133&lt;&gt;"Serviço",0,IF(AND(AUTOEVENTO="Manual",$M133=1),0,IF(OFFSET(CRONOPLE!$F$14,$M133,AQ$13)="",10^12,OFFSET(CRONOPLE!$F$14,$M133,AQ$13))))</f>
        <v>2</v>
      </c>
      <c r="AR133" s="216">
        <f ca="1">IF($D133&lt;&gt;"Serviço",0,IF(AND(AUTOEVENTO="Manual",$M133=1),0,IF(OFFSET(CRONOPLE!$F$14,$M133,AR$13)="",10^12,OFFSET(CRONOPLE!$F$14,$M133,AR$13))))</f>
        <v>2</v>
      </c>
      <c r="AS133" s="216">
        <f ca="1">IF($D133&lt;&gt;"Serviço",0,IF(AND(AUTOEVENTO="Manual",$M133=1),0,IF(OFFSET(CRONOPLE!$F$14,$M133,AS$13)="",10^12,OFFSET(CRONOPLE!$F$14,$M133,AS$13))))</f>
        <v>2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hidden="1" x14ac:dyDescent="0.2">
      <c r="A134" s="9" t="str">
        <f t="shared" ca="1" si="17"/>
        <v>36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6</v>
      </c>
      <c r="N134" s="212" t="str">
        <f ca="1">IF($D134&lt;&gt;"Serviço","",IF(AUTOEVENTO="Manual",IF($A134=0,"&lt;-- defina o número do agrupador",OFFSET(EVENTOS!$D$14,$A134,0)),OFFSET($F$15,$A134,0)))</f>
        <v>ENSAIOS TECNOLÓGICOS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</v>
      </c>
      <c r="AN134" s="216">
        <f ca="1">IF($D134&lt;&gt;"Serviço",0,IF(AND(AUTOEVENTO="Manual",$M134=1),0,IF(OFFSET(CRONOPLE!$F$14,$M134,AN$13)="",10^12,OFFSET(CRONOPLE!$F$14,$M134,AN$13))))</f>
        <v>1</v>
      </c>
      <c r="AO134" s="216">
        <f ca="1">IF($D134&lt;&gt;"Serviço",0,IF(AND(AUTOEVENTO="Manual",$M134=1),0,IF(OFFSET(CRONOPLE!$F$14,$M134,AO$13)="",10^12,OFFSET(CRONOPLE!$F$14,$M134,AO$13))))</f>
        <v>1</v>
      </c>
      <c r="AP134" s="216">
        <f ca="1">IF($D134&lt;&gt;"Serviço",0,IF(AND(AUTOEVENTO="Manual",$M134=1),0,IF(OFFSET(CRONOPLE!$F$14,$M134,AP$13)="",10^12,OFFSET(CRONOPLE!$F$14,$M134,AP$13))))</f>
        <v>1</v>
      </c>
      <c r="AQ134" s="216">
        <f ca="1">IF($D134&lt;&gt;"Serviço",0,IF(AND(AUTOEVENTO="Manual",$M134=1),0,IF(OFFSET(CRONOPLE!$F$14,$M134,AQ$13)="",10^12,OFFSET(CRONOPLE!$F$14,$M134,AQ$13))))</f>
        <v>2</v>
      </c>
      <c r="AR134" s="216">
        <f ca="1">IF($D134&lt;&gt;"Serviço",0,IF(AND(AUTOEVENTO="Manual",$M134=1),0,IF(OFFSET(CRONOPLE!$F$14,$M134,AR$13)="",10^12,OFFSET(CRONOPLE!$F$14,$M134,AR$13))))</f>
        <v>2</v>
      </c>
      <c r="AS134" s="216">
        <f ca="1">IF($D134&lt;&gt;"Serviço",0,IF(AND(AUTOEVENTO="Manual",$M134=1),0,IF(OFFSET(CRONOPLE!$F$14,$M134,AS$13)="",10^12,OFFSET(CRONOPLE!$F$14,$M134,AS$13))))</f>
        <v>2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hidden="1" x14ac:dyDescent="0.2">
      <c r="A135" s="9" t="str">
        <f t="shared" ca="1" si="17"/>
        <v>36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6</v>
      </c>
      <c r="N135" s="212" t="str">
        <f ca="1">IF($D135&lt;&gt;"Serviço","",IF(AUTOEVENTO="Manual",IF($A135=0,"&lt;-- defina o número do agrupador",OFFSET(EVENTOS!$D$14,$A135,0)),OFFSET($F$15,$A135,0)))</f>
        <v>ENSAIOS TECNOLÓGICOS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</v>
      </c>
      <c r="AN135" s="216">
        <f ca="1">IF($D135&lt;&gt;"Serviço",0,IF(AND(AUTOEVENTO="Manual",$M135=1),0,IF(OFFSET(CRONOPLE!$F$14,$M135,AN$13)="",10^12,OFFSET(CRONOPLE!$F$14,$M135,AN$13))))</f>
        <v>1</v>
      </c>
      <c r="AO135" s="216">
        <f ca="1">IF($D135&lt;&gt;"Serviço",0,IF(AND(AUTOEVENTO="Manual",$M135=1),0,IF(OFFSET(CRONOPLE!$F$14,$M135,AO$13)="",10^12,OFFSET(CRONOPLE!$F$14,$M135,AO$13))))</f>
        <v>1</v>
      </c>
      <c r="AP135" s="216">
        <f ca="1">IF($D135&lt;&gt;"Serviço",0,IF(AND(AUTOEVENTO="Manual",$M135=1),0,IF(OFFSET(CRONOPLE!$F$14,$M135,AP$13)="",10^12,OFFSET(CRONOPLE!$F$14,$M135,AP$13))))</f>
        <v>1</v>
      </c>
      <c r="AQ135" s="216">
        <f ca="1">IF($D135&lt;&gt;"Serviço",0,IF(AND(AUTOEVENTO="Manual",$M135=1),0,IF(OFFSET(CRONOPLE!$F$14,$M135,AQ$13)="",10^12,OFFSET(CRONOPLE!$F$14,$M135,AQ$13))))</f>
        <v>2</v>
      </c>
      <c r="AR135" s="216">
        <f ca="1">IF($D135&lt;&gt;"Serviço",0,IF(AND(AUTOEVENTO="Manual",$M135=1),0,IF(OFFSET(CRONOPLE!$F$14,$M135,AR$13)="",10^12,OFFSET(CRONOPLE!$F$14,$M135,AR$13))))</f>
        <v>2</v>
      </c>
      <c r="AS135" s="216">
        <f ca="1">IF($D135&lt;&gt;"Serviço",0,IF(AND(AUTOEVENTO="Manual",$M135=1),0,IF(OFFSET(CRONOPLE!$F$14,$M135,AS$13)="",10^12,OFFSET(CRONOPLE!$F$14,$M135,AS$13))))</f>
        <v>2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hidden="1" x14ac:dyDescent="0.2">
      <c r="A136" s="9" t="str">
        <f t="shared" ca="1" si="17"/>
        <v>36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6</v>
      </c>
      <c r="N136" s="212" t="str">
        <f ca="1">IF($D136&lt;&gt;"Serviço","",IF(AUTOEVENTO="Manual",IF($A136=0,"&lt;-- defina o número do agrupador",OFFSET(EVENTOS!$D$14,$A136,0)),OFFSET($F$15,$A136,0)))</f>
        <v>ENSAIOS TECNOLÓGICOS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</v>
      </c>
      <c r="AN136" s="216">
        <f ca="1">IF($D136&lt;&gt;"Serviço",0,IF(AND(AUTOEVENTO="Manual",$M136=1),0,IF(OFFSET(CRONOPLE!$F$14,$M136,AN$13)="",10^12,OFFSET(CRONOPLE!$F$14,$M136,AN$13))))</f>
        <v>1</v>
      </c>
      <c r="AO136" s="216">
        <f ca="1">IF($D136&lt;&gt;"Serviço",0,IF(AND(AUTOEVENTO="Manual",$M136=1),0,IF(OFFSET(CRONOPLE!$F$14,$M136,AO$13)="",10^12,OFFSET(CRONOPLE!$F$14,$M136,AO$13))))</f>
        <v>1</v>
      </c>
      <c r="AP136" s="216">
        <f ca="1">IF($D136&lt;&gt;"Serviço",0,IF(AND(AUTOEVENTO="Manual",$M136=1),0,IF(OFFSET(CRONOPLE!$F$14,$M136,AP$13)="",10^12,OFFSET(CRONOPLE!$F$14,$M136,AP$13))))</f>
        <v>1</v>
      </c>
      <c r="AQ136" s="216">
        <f ca="1">IF($D136&lt;&gt;"Serviço",0,IF(AND(AUTOEVENTO="Manual",$M136=1),0,IF(OFFSET(CRONOPLE!$F$14,$M136,AQ$13)="",10^12,OFFSET(CRONOPLE!$F$14,$M136,AQ$13))))</f>
        <v>2</v>
      </c>
      <c r="AR136" s="216">
        <f ca="1">IF($D136&lt;&gt;"Serviço",0,IF(AND(AUTOEVENTO="Manual",$M136=1),0,IF(OFFSET(CRONOPLE!$F$14,$M136,AR$13)="",10^12,OFFSET(CRONOPLE!$F$14,$M136,AR$13))))</f>
        <v>2</v>
      </c>
      <c r="AS136" s="216">
        <f ca="1">IF($D136&lt;&gt;"Serviço",0,IF(AND(AUTOEVENTO="Manual",$M136=1),0,IF(OFFSET(CRONOPLE!$F$14,$M136,AS$13)="",10^12,OFFSET(CRONOPLE!$F$14,$M136,AS$13))))</f>
        <v>2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hidden="1" x14ac:dyDescent="0.2">
      <c r="A137" s="9" t="str">
        <f t="shared" ca="1" si="17"/>
        <v>36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6</v>
      </c>
      <c r="N137" s="212" t="str">
        <f ca="1">IF($D137&lt;&gt;"Serviço","",IF(AUTOEVENTO="Manual",IF($A137=0,"&lt;-- defina o número do agrupador",OFFSET(EVENTOS!$D$14,$A137,0)),OFFSET($F$15,$A137,0)))</f>
        <v>ENSAIOS TECNOLÓGICOS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</v>
      </c>
      <c r="AN137" s="216">
        <f ca="1">IF($D137&lt;&gt;"Serviço",0,IF(AND(AUTOEVENTO="Manual",$M137=1),0,IF(OFFSET(CRONOPLE!$F$14,$M137,AN$13)="",10^12,OFFSET(CRONOPLE!$F$14,$M137,AN$13))))</f>
        <v>1</v>
      </c>
      <c r="AO137" s="216">
        <f ca="1">IF($D137&lt;&gt;"Serviço",0,IF(AND(AUTOEVENTO="Manual",$M137=1),0,IF(OFFSET(CRONOPLE!$F$14,$M137,AO$13)="",10^12,OFFSET(CRONOPLE!$F$14,$M137,AO$13))))</f>
        <v>1</v>
      </c>
      <c r="AP137" s="216">
        <f ca="1">IF($D137&lt;&gt;"Serviço",0,IF(AND(AUTOEVENTO="Manual",$M137=1),0,IF(OFFSET(CRONOPLE!$F$14,$M137,AP$13)="",10^12,OFFSET(CRONOPLE!$F$14,$M137,AP$13))))</f>
        <v>1</v>
      </c>
      <c r="AQ137" s="216">
        <f ca="1">IF($D137&lt;&gt;"Serviço",0,IF(AND(AUTOEVENTO="Manual",$M137=1),0,IF(OFFSET(CRONOPLE!$F$14,$M137,AQ$13)="",10^12,OFFSET(CRONOPLE!$F$14,$M137,AQ$13))))</f>
        <v>2</v>
      </c>
      <c r="AR137" s="216">
        <f ca="1">IF($D137&lt;&gt;"Serviço",0,IF(AND(AUTOEVENTO="Manual",$M137=1),0,IF(OFFSET(CRONOPLE!$F$14,$M137,AR$13)="",10^12,OFFSET(CRONOPLE!$F$14,$M137,AR$13))))</f>
        <v>2</v>
      </c>
      <c r="AS137" s="216">
        <f ca="1">IF($D137&lt;&gt;"Serviço",0,IF(AND(AUTOEVENTO="Manual",$M137=1),0,IF(OFFSET(CRONOPLE!$F$14,$M137,AS$13)="",10^12,OFFSET(CRONOPLE!$F$14,$M137,AS$13))))</f>
        <v>2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hidden="1" x14ac:dyDescent="0.2">
      <c r="A138" s="9" t="str">
        <f t="shared" ca="1" si="17"/>
        <v>36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6</v>
      </c>
      <c r="N138" s="212" t="str">
        <f ca="1">IF($D138&lt;&gt;"Serviço","",IF(AUTOEVENTO="Manual",IF($A138=0,"&lt;-- defina o número do agrupador",OFFSET(EVENTOS!$D$14,$A138,0)),OFFSET($F$15,$A138,0)))</f>
        <v>ENSAIOS TECNOLÓGICOS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</v>
      </c>
      <c r="AN138" s="216">
        <f ca="1">IF($D138&lt;&gt;"Serviço",0,IF(AND(AUTOEVENTO="Manual",$M138=1),0,IF(OFFSET(CRONOPLE!$F$14,$M138,AN$13)="",10^12,OFFSET(CRONOPLE!$F$14,$M138,AN$13))))</f>
        <v>1</v>
      </c>
      <c r="AO138" s="216">
        <f ca="1">IF($D138&lt;&gt;"Serviço",0,IF(AND(AUTOEVENTO="Manual",$M138=1),0,IF(OFFSET(CRONOPLE!$F$14,$M138,AO$13)="",10^12,OFFSET(CRONOPLE!$F$14,$M138,AO$13))))</f>
        <v>1</v>
      </c>
      <c r="AP138" s="216">
        <f ca="1">IF($D138&lt;&gt;"Serviço",0,IF(AND(AUTOEVENTO="Manual",$M138=1),0,IF(OFFSET(CRONOPLE!$F$14,$M138,AP$13)="",10^12,OFFSET(CRONOPLE!$F$14,$M138,AP$13))))</f>
        <v>1</v>
      </c>
      <c r="AQ138" s="216">
        <f ca="1">IF($D138&lt;&gt;"Serviço",0,IF(AND(AUTOEVENTO="Manual",$M138=1),0,IF(OFFSET(CRONOPLE!$F$14,$M138,AQ$13)="",10^12,OFFSET(CRONOPLE!$F$14,$M138,AQ$13))))</f>
        <v>2</v>
      </c>
      <c r="AR138" s="216">
        <f ca="1">IF($D138&lt;&gt;"Serviço",0,IF(AND(AUTOEVENTO="Manual",$M138=1),0,IF(OFFSET(CRONOPLE!$F$14,$M138,AR$13)="",10^12,OFFSET(CRONOPLE!$F$14,$M138,AR$13))))</f>
        <v>2</v>
      </c>
      <c r="AS138" s="216">
        <f ca="1">IF($D138&lt;&gt;"Serviço",0,IF(AND(AUTOEVENTO="Manual",$M138=1),0,IF(OFFSET(CRONOPLE!$F$14,$M138,AS$13)="",10^12,OFFSET(CRONOPLE!$F$14,$M138,AS$13))))</f>
        <v>2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hidden="1" x14ac:dyDescent="0.2">
      <c r="A139" s="9" t="str">
        <f t="shared" ca="1" si="17"/>
        <v>36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6</v>
      </c>
      <c r="N139" s="212" t="str">
        <f ca="1">IF($D139&lt;&gt;"Serviço","",IF(AUTOEVENTO="Manual",IF($A139=0,"&lt;-- defina o número do agrupador",OFFSET(EVENTOS!$D$14,$A139,0)),OFFSET($F$15,$A139,0)))</f>
        <v>ENSAIOS TECNOLÓGICOS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</v>
      </c>
      <c r="AN139" s="216">
        <f ca="1">IF($D139&lt;&gt;"Serviço",0,IF(AND(AUTOEVENTO="Manual",$M139=1),0,IF(OFFSET(CRONOPLE!$F$14,$M139,AN$13)="",10^12,OFFSET(CRONOPLE!$F$14,$M139,AN$13))))</f>
        <v>1</v>
      </c>
      <c r="AO139" s="216">
        <f ca="1">IF($D139&lt;&gt;"Serviço",0,IF(AND(AUTOEVENTO="Manual",$M139=1),0,IF(OFFSET(CRONOPLE!$F$14,$M139,AO$13)="",10^12,OFFSET(CRONOPLE!$F$14,$M139,AO$13))))</f>
        <v>1</v>
      </c>
      <c r="AP139" s="216">
        <f ca="1">IF($D139&lt;&gt;"Serviço",0,IF(AND(AUTOEVENTO="Manual",$M139=1),0,IF(OFFSET(CRONOPLE!$F$14,$M139,AP$13)="",10^12,OFFSET(CRONOPLE!$F$14,$M139,AP$13))))</f>
        <v>1</v>
      </c>
      <c r="AQ139" s="216">
        <f ca="1">IF($D139&lt;&gt;"Serviço",0,IF(AND(AUTOEVENTO="Manual",$M139=1),0,IF(OFFSET(CRONOPLE!$F$14,$M139,AQ$13)="",10^12,OFFSET(CRONOPLE!$F$14,$M139,AQ$13))))</f>
        <v>2</v>
      </c>
      <c r="AR139" s="216">
        <f ca="1">IF($D139&lt;&gt;"Serviço",0,IF(AND(AUTOEVENTO="Manual",$M139=1),0,IF(OFFSET(CRONOPLE!$F$14,$M139,AR$13)="",10^12,OFFSET(CRONOPLE!$F$14,$M139,AR$13))))</f>
        <v>2</v>
      </c>
      <c r="AS139" s="216">
        <f ca="1">IF($D139&lt;&gt;"Serviço",0,IF(AND(AUTOEVENTO="Manual",$M139=1),0,IF(OFFSET(CRONOPLE!$F$14,$M139,AS$13)="",10^12,OFFSET(CRONOPLE!$F$14,$M139,AS$13))))</f>
        <v>2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hidden="1" x14ac:dyDescent="0.2">
      <c r="A140" s="9" t="str">
        <f t="shared" ca="1" si="17"/>
        <v>36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6</v>
      </c>
      <c r="N140" s="212" t="str">
        <f ca="1">IF($D140&lt;&gt;"Serviço","",IF(AUTOEVENTO="Manual",IF($A140=0,"&lt;-- defina o número do agrupador",OFFSET(EVENTOS!$D$14,$A140,0)),OFFSET($F$15,$A140,0)))</f>
        <v>ENSAIOS TECNOLÓGICOS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</v>
      </c>
      <c r="AN140" s="216">
        <f ca="1">IF($D140&lt;&gt;"Serviço",0,IF(AND(AUTOEVENTO="Manual",$M140=1),0,IF(OFFSET(CRONOPLE!$F$14,$M140,AN$13)="",10^12,OFFSET(CRONOPLE!$F$14,$M140,AN$13))))</f>
        <v>1</v>
      </c>
      <c r="AO140" s="216">
        <f ca="1">IF($D140&lt;&gt;"Serviço",0,IF(AND(AUTOEVENTO="Manual",$M140=1),0,IF(OFFSET(CRONOPLE!$F$14,$M140,AO$13)="",10^12,OFFSET(CRONOPLE!$F$14,$M140,AO$13))))</f>
        <v>1</v>
      </c>
      <c r="AP140" s="216">
        <f ca="1">IF($D140&lt;&gt;"Serviço",0,IF(AND(AUTOEVENTO="Manual",$M140=1),0,IF(OFFSET(CRONOPLE!$F$14,$M140,AP$13)="",10^12,OFFSET(CRONOPLE!$F$14,$M140,AP$13))))</f>
        <v>1</v>
      </c>
      <c r="AQ140" s="216">
        <f ca="1">IF($D140&lt;&gt;"Serviço",0,IF(AND(AUTOEVENTO="Manual",$M140=1),0,IF(OFFSET(CRONOPLE!$F$14,$M140,AQ$13)="",10^12,OFFSET(CRONOPLE!$F$14,$M140,AQ$13))))</f>
        <v>2</v>
      </c>
      <c r="AR140" s="216">
        <f ca="1">IF($D140&lt;&gt;"Serviço",0,IF(AND(AUTOEVENTO="Manual",$M140=1),0,IF(OFFSET(CRONOPLE!$F$14,$M140,AR$13)="",10^12,OFFSET(CRONOPLE!$F$14,$M140,AR$13))))</f>
        <v>2</v>
      </c>
      <c r="AS140" s="216">
        <f ca="1">IF($D140&lt;&gt;"Serviço",0,IF(AND(AUTOEVENTO="Manual",$M140=1),0,IF(OFFSET(CRONOPLE!$F$14,$M140,AS$13)="",10^12,OFFSET(CRONOPLE!$F$14,$M140,AS$13))))</f>
        <v>2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hidden="1" x14ac:dyDescent="0.2">
      <c r="A141" s="9" t="str">
        <f t="shared" ca="1" si="17"/>
        <v>36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6</v>
      </c>
      <c r="N141" s="212" t="str">
        <f ca="1">IF($D141&lt;&gt;"Serviço","",IF(AUTOEVENTO="Manual",IF($A141=0,"&lt;-- defina o número do agrupador",OFFSET(EVENTOS!$D$14,$A141,0)),OFFSET($F$15,$A141,0)))</f>
        <v>ENSAIOS TECNOLÓGICOS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</v>
      </c>
      <c r="AN141" s="216">
        <f ca="1">IF($D141&lt;&gt;"Serviço",0,IF(AND(AUTOEVENTO="Manual",$M141=1),0,IF(OFFSET(CRONOPLE!$F$14,$M141,AN$13)="",10^12,OFFSET(CRONOPLE!$F$14,$M141,AN$13))))</f>
        <v>1</v>
      </c>
      <c r="AO141" s="216">
        <f ca="1">IF($D141&lt;&gt;"Serviço",0,IF(AND(AUTOEVENTO="Manual",$M141=1),0,IF(OFFSET(CRONOPLE!$F$14,$M141,AO$13)="",10^12,OFFSET(CRONOPLE!$F$14,$M141,AO$13))))</f>
        <v>1</v>
      </c>
      <c r="AP141" s="216">
        <f ca="1">IF($D141&lt;&gt;"Serviço",0,IF(AND(AUTOEVENTO="Manual",$M141=1),0,IF(OFFSET(CRONOPLE!$F$14,$M141,AP$13)="",10^12,OFFSET(CRONOPLE!$F$14,$M141,AP$13))))</f>
        <v>1</v>
      </c>
      <c r="AQ141" s="216">
        <f ca="1">IF($D141&lt;&gt;"Serviço",0,IF(AND(AUTOEVENTO="Manual",$M141=1),0,IF(OFFSET(CRONOPLE!$F$14,$M141,AQ$13)="",10^12,OFFSET(CRONOPLE!$F$14,$M141,AQ$13))))</f>
        <v>2</v>
      </c>
      <c r="AR141" s="216">
        <f ca="1">IF($D141&lt;&gt;"Serviço",0,IF(AND(AUTOEVENTO="Manual",$M141=1),0,IF(OFFSET(CRONOPLE!$F$14,$M141,AR$13)="",10^12,OFFSET(CRONOPLE!$F$14,$M141,AR$13))))</f>
        <v>2</v>
      </c>
      <c r="AS141" s="216">
        <f ca="1">IF($D141&lt;&gt;"Serviço",0,IF(AND(AUTOEVENTO="Manual",$M141=1),0,IF(OFFSET(CRONOPLE!$F$14,$M141,AS$13)="",10^12,OFFSET(CRONOPLE!$F$14,$M141,AS$13))))</f>
        <v>2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hidden="1" x14ac:dyDescent="0.2">
      <c r="A142" s="9" t="str">
        <f t="shared" ca="1" si="17"/>
        <v>36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6</v>
      </c>
      <c r="N142" s="212" t="str">
        <f ca="1">IF($D142&lt;&gt;"Serviço","",IF(AUTOEVENTO="Manual",IF($A142=0,"&lt;-- defina o número do agrupador",OFFSET(EVENTOS!$D$14,$A142,0)),OFFSET($F$15,$A142,0)))</f>
        <v>ENSAIOS TECNOLÓGICOS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</v>
      </c>
      <c r="AN142" s="216">
        <f ca="1">IF($D142&lt;&gt;"Serviço",0,IF(AND(AUTOEVENTO="Manual",$M142=1),0,IF(OFFSET(CRONOPLE!$F$14,$M142,AN$13)="",10^12,OFFSET(CRONOPLE!$F$14,$M142,AN$13))))</f>
        <v>1</v>
      </c>
      <c r="AO142" s="216">
        <f ca="1">IF($D142&lt;&gt;"Serviço",0,IF(AND(AUTOEVENTO="Manual",$M142=1),0,IF(OFFSET(CRONOPLE!$F$14,$M142,AO$13)="",10^12,OFFSET(CRONOPLE!$F$14,$M142,AO$13))))</f>
        <v>1</v>
      </c>
      <c r="AP142" s="216">
        <f ca="1">IF($D142&lt;&gt;"Serviço",0,IF(AND(AUTOEVENTO="Manual",$M142=1),0,IF(OFFSET(CRONOPLE!$F$14,$M142,AP$13)="",10^12,OFFSET(CRONOPLE!$F$14,$M142,AP$13))))</f>
        <v>1</v>
      </c>
      <c r="AQ142" s="216">
        <f ca="1">IF($D142&lt;&gt;"Serviço",0,IF(AND(AUTOEVENTO="Manual",$M142=1),0,IF(OFFSET(CRONOPLE!$F$14,$M142,AQ$13)="",10^12,OFFSET(CRONOPLE!$F$14,$M142,AQ$13))))</f>
        <v>2</v>
      </c>
      <c r="AR142" s="216">
        <f ca="1">IF($D142&lt;&gt;"Serviço",0,IF(AND(AUTOEVENTO="Manual",$M142=1),0,IF(OFFSET(CRONOPLE!$F$14,$M142,AR$13)="",10^12,OFFSET(CRONOPLE!$F$14,$M142,AR$13))))</f>
        <v>2</v>
      </c>
      <c r="AS142" s="216">
        <f ca="1">IF($D142&lt;&gt;"Serviço",0,IF(AND(AUTOEVENTO="Manual",$M142=1),0,IF(OFFSET(CRONOPLE!$F$14,$M142,AS$13)="",10^12,OFFSET(CRONOPLE!$F$14,$M142,AS$13))))</f>
        <v>2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hidden="1" x14ac:dyDescent="0.2">
      <c r="A143" s="9" t="str">
        <f t="shared" ca="1" si="17"/>
        <v>36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6</v>
      </c>
      <c r="N143" s="212" t="str">
        <f ca="1">IF($D143&lt;&gt;"Serviço","",IF(AUTOEVENTO="Manual",IF($A143=0,"&lt;-- defina o número do agrupador",OFFSET(EVENTOS!$D$14,$A143,0)),OFFSET($F$15,$A143,0)))</f>
        <v>ENSAIOS TECNOLÓGICOS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</v>
      </c>
      <c r="AN143" s="216">
        <f ca="1">IF($D143&lt;&gt;"Serviço",0,IF(AND(AUTOEVENTO="Manual",$M143=1),0,IF(OFFSET(CRONOPLE!$F$14,$M143,AN$13)="",10^12,OFFSET(CRONOPLE!$F$14,$M143,AN$13))))</f>
        <v>1</v>
      </c>
      <c r="AO143" s="216">
        <f ca="1">IF($D143&lt;&gt;"Serviço",0,IF(AND(AUTOEVENTO="Manual",$M143=1),0,IF(OFFSET(CRONOPLE!$F$14,$M143,AO$13)="",10^12,OFFSET(CRONOPLE!$F$14,$M143,AO$13))))</f>
        <v>1</v>
      </c>
      <c r="AP143" s="216">
        <f ca="1">IF($D143&lt;&gt;"Serviço",0,IF(AND(AUTOEVENTO="Manual",$M143=1),0,IF(OFFSET(CRONOPLE!$F$14,$M143,AP$13)="",10^12,OFFSET(CRONOPLE!$F$14,$M143,AP$13))))</f>
        <v>1</v>
      </c>
      <c r="AQ143" s="216">
        <f ca="1">IF($D143&lt;&gt;"Serviço",0,IF(AND(AUTOEVENTO="Manual",$M143=1),0,IF(OFFSET(CRONOPLE!$F$14,$M143,AQ$13)="",10^12,OFFSET(CRONOPLE!$F$14,$M143,AQ$13))))</f>
        <v>2</v>
      </c>
      <c r="AR143" s="216">
        <f ca="1">IF($D143&lt;&gt;"Serviço",0,IF(AND(AUTOEVENTO="Manual",$M143=1),0,IF(OFFSET(CRONOPLE!$F$14,$M143,AR$13)="",10^12,OFFSET(CRONOPLE!$F$14,$M143,AR$13))))</f>
        <v>2</v>
      </c>
      <c r="AS143" s="216">
        <f ca="1">IF($D143&lt;&gt;"Serviço",0,IF(AND(AUTOEVENTO="Manual",$M143=1),0,IF(OFFSET(CRONOPLE!$F$14,$M143,AS$13)="",10^12,OFFSET(CRONOPLE!$F$14,$M143,AS$13))))</f>
        <v>2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hidden="1" x14ac:dyDescent="0.2">
      <c r="A144" s="9" t="str">
        <f t="shared" ref="A144:A207" ca="1" si="18">IF(AUTOEVENTO="Manual",IF(K144&lt;&gt;"",MIN(VALUE(LEFT(K144,FIND(".",K144)-1)),COUNTA(EVENTOS.Lista)),0),IF(OR($B144&gt;AUTOEVENTO,$B144="S",$B144=0),SUBSTITUTE(OFFSET($A144,-1,0),IF($D144="Serviço",".",""),""),ROW(A144)-ROW($A$15)&amp;"."))</f>
        <v>36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6</v>
      </c>
      <c r="N144" s="212" t="str">
        <f ca="1">IF($D144&lt;&gt;"Serviço","",IF(AUTOEVENTO="Manual",IF($A144=0,"&lt;-- defina o número do agrupador",OFFSET(EVENTOS!$D$14,$A144,0)),OFFSET($F$15,$A144,0)))</f>
        <v>ENSAIOS TECNOLÓGICOS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</v>
      </c>
      <c r="AN144" s="216">
        <f ca="1">IF($D144&lt;&gt;"Serviço",0,IF(AND(AUTOEVENTO="Manual",$M144=1),0,IF(OFFSET(CRONOPLE!$F$14,$M144,AN$13)="",10^12,OFFSET(CRONOPLE!$F$14,$M144,AN$13))))</f>
        <v>1</v>
      </c>
      <c r="AO144" s="216">
        <f ca="1">IF($D144&lt;&gt;"Serviço",0,IF(AND(AUTOEVENTO="Manual",$M144=1),0,IF(OFFSET(CRONOPLE!$F$14,$M144,AO$13)="",10^12,OFFSET(CRONOPLE!$F$14,$M144,AO$13))))</f>
        <v>1</v>
      </c>
      <c r="AP144" s="216">
        <f ca="1">IF($D144&lt;&gt;"Serviço",0,IF(AND(AUTOEVENTO="Manual",$M144=1),0,IF(OFFSET(CRONOPLE!$F$14,$M144,AP$13)="",10^12,OFFSET(CRONOPLE!$F$14,$M144,AP$13))))</f>
        <v>1</v>
      </c>
      <c r="AQ144" s="216">
        <f ca="1">IF($D144&lt;&gt;"Serviço",0,IF(AND(AUTOEVENTO="Manual",$M144=1),0,IF(OFFSET(CRONOPLE!$F$14,$M144,AQ$13)="",10^12,OFFSET(CRONOPLE!$F$14,$M144,AQ$13))))</f>
        <v>2</v>
      </c>
      <c r="AR144" s="216">
        <f ca="1">IF($D144&lt;&gt;"Serviço",0,IF(AND(AUTOEVENTO="Manual",$M144=1),0,IF(OFFSET(CRONOPLE!$F$14,$M144,AR$13)="",10^12,OFFSET(CRONOPLE!$F$14,$M144,AR$13))))</f>
        <v>2</v>
      </c>
      <c r="AS144" s="216">
        <f ca="1">IF($D144&lt;&gt;"Serviço",0,IF(AND(AUTOEVENTO="Manual",$M144=1),0,IF(OFFSET(CRONOPLE!$F$14,$M144,AS$13)="",10^12,OFFSET(CRONOPLE!$F$14,$M144,AS$13))))</f>
        <v>2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hidden="1" x14ac:dyDescent="0.2">
      <c r="A145" s="9" t="str">
        <f t="shared" ca="1" si="18"/>
        <v>36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6</v>
      </c>
      <c r="N145" s="212" t="str">
        <f ca="1">IF($D145&lt;&gt;"Serviço","",IF(AUTOEVENTO="Manual",IF($A145=0,"&lt;-- defina o número do agrupador",OFFSET(EVENTOS!$D$14,$A145,0)),OFFSET($F$15,$A145,0)))</f>
        <v>ENSAIOS TECNOLÓGICOS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</v>
      </c>
      <c r="AN145" s="216">
        <f ca="1">IF($D145&lt;&gt;"Serviço",0,IF(AND(AUTOEVENTO="Manual",$M145=1),0,IF(OFFSET(CRONOPLE!$F$14,$M145,AN$13)="",10^12,OFFSET(CRONOPLE!$F$14,$M145,AN$13))))</f>
        <v>1</v>
      </c>
      <c r="AO145" s="216">
        <f ca="1">IF($D145&lt;&gt;"Serviço",0,IF(AND(AUTOEVENTO="Manual",$M145=1),0,IF(OFFSET(CRONOPLE!$F$14,$M145,AO$13)="",10^12,OFFSET(CRONOPLE!$F$14,$M145,AO$13))))</f>
        <v>1</v>
      </c>
      <c r="AP145" s="216">
        <f ca="1">IF($D145&lt;&gt;"Serviço",0,IF(AND(AUTOEVENTO="Manual",$M145=1),0,IF(OFFSET(CRONOPLE!$F$14,$M145,AP$13)="",10^12,OFFSET(CRONOPLE!$F$14,$M145,AP$13))))</f>
        <v>1</v>
      </c>
      <c r="AQ145" s="216">
        <f ca="1">IF($D145&lt;&gt;"Serviço",0,IF(AND(AUTOEVENTO="Manual",$M145=1),0,IF(OFFSET(CRONOPLE!$F$14,$M145,AQ$13)="",10^12,OFFSET(CRONOPLE!$F$14,$M145,AQ$13))))</f>
        <v>2</v>
      </c>
      <c r="AR145" s="216">
        <f ca="1">IF($D145&lt;&gt;"Serviço",0,IF(AND(AUTOEVENTO="Manual",$M145=1),0,IF(OFFSET(CRONOPLE!$F$14,$M145,AR$13)="",10^12,OFFSET(CRONOPLE!$F$14,$M145,AR$13))))</f>
        <v>2</v>
      </c>
      <c r="AS145" s="216">
        <f ca="1">IF($D145&lt;&gt;"Serviço",0,IF(AND(AUTOEVENTO="Manual",$M145=1),0,IF(OFFSET(CRONOPLE!$F$14,$M145,AS$13)="",10^12,OFFSET(CRONOPLE!$F$14,$M145,AS$13))))</f>
        <v>2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hidden="1" x14ac:dyDescent="0.2">
      <c r="A146" s="9" t="str">
        <f t="shared" ca="1" si="18"/>
        <v>36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6</v>
      </c>
      <c r="N146" s="212" t="str">
        <f ca="1">IF($D146&lt;&gt;"Serviço","",IF(AUTOEVENTO="Manual",IF($A146=0,"&lt;-- defina o número do agrupador",OFFSET(EVENTOS!$D$14,$A146,0)),OFFSET($F$15,$A146,0)))</f>
        <v>ENSAIOS TECNOLÓGICOS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</v>
      </c>
      <c r="AN146" s="216">
        <f ca="1">IF($D146&lt;&gt;"Serviço",0,IF(AND(AUTOEVENTO="Manual",$M146=1),0,IF(OFFSET(CRONOPLE!$F$14,$M146,AN$13)="",10^12,OFFSET(CRONOPLE!$F$14,$M146,AN$13))))</f>
        <v>1</v>
      </c>
      <c r="AO146" s="216">
        <f ca="1">IF($D146&lt;&gt;"Serviço",0,IF(AND(AUTOEVENTO="Manual",$M146=1),0,IF(OFFSET(CRONOPLE!$F$14,$M146,AO$13)="",10^12,OFFSET(CRONOPLE!$F$14,$M146,AO$13))))</f>
        <v>1</v>
      </c>
      <c r="AP146" s="216">
        <f ca="1">IF($D146&lt;&gt;"Serviço",0,IF(AND(AUTOEVENTO="Manual",$M146=1),0,IF(OFFSET(CRONOPLE!$F$14,$M146,AP$13)="",10^12,OFFSET(CRONOPLE!$F$14,$M146,AP$13))))</f>
        <v>1</v>
      </c>
      <c r="AQ146" s="216">
        <f ca="1">IF($D146&lt;&gt;"Serviço",0,IF(AND(AUTOEVENTO="Manual",$M146=1),0,IF(OFFSET(CRONOPLE!$F$14,$M146,AQ$13)="",10^12,OFFSET(CRONOPLE!$F$14,$M146,AQ$13))))</f>
        <v>2</v>
      </c>
      <c r="AR146" s="216">
        <f ca="1">IF($D146&lt;&gt;"Serviço",0,IF(AND(AUTOEVENTO="Manual",$M146=1),0,IF(OFFSET(CRONOPLE!$F$14,$M146,AR$13)="",10^12,OFFSET(CRONOPLE!$F$14,$M146,AR$13))))</f>
        <v>2</v>
      </c>
      <c r="AS146" s="216">
        <f ca="1">IF($D146&lt;&gt;"Serviço",0,IF(AND(AUTOEVENTO="Manual",$M146=1),0,IF(OFFSET(CRONOPLE!$F$14,$M146,AS$13)="",10^12,OFFSET(CRONOPLE!$F$14,$M146,AS$13))))</f>
        <v>2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hidden="1" x14ac:dyDescent="0.2">
      <c r="A147" s="9" t="str">
        <f t="shared" ca="1" si="18"/>
        <v>36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6</v>
      </c>
      <c r="N147" s="212" t="str">
        <f ca="1">IF($D147&lt;&gt;"Serviço","",IF(AUTOEVENTO="Manual",IF($A147=0,"&lt;-- defina o número do agrupador",OFFSET(EVENTOS!$D$14,$A147,0)),OFFSET($F$15,$A147,0)))</f>
        <v>ENSAIOS TECNOLÓGICOS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</v>
      </c>
      <c r="AN147" s="216">
        <f ca="1">IF($D147&lt;&gt;"Serviço",0,IF(AND(AUTOEVENTO="Manual",$M147=1),0,IF(OFFSET(CRONOPLE!$F$14,$M147,AN$13)="",10^12,OFFSET(CRONOPLE!$F$14,$M147,AN$13))))</f>
        <v>1</v>
      </c>
      <c r="AO147" s="216">
        <f ca="1">IF($D147&lt;&gt;"Serviço",0,IF(AND(AUTOEVENTO="Manual",$M147=1),0,IF(OFFSET(CRONOPLE!$F$14,$M147,AO$13)="",10^12,OFFSET(CRONOPLE!$F$14,$M147,AO$13))))</f>
        <v>1</v>
      </c>
      <c r="AP147" s="216">
        <f ca="1">IF($D147&lt;&gt;"Serviço",0,IF(AND(AUTOEVENTO="Manual",$M147=1),0,IF(OFFSET(CRONOPLE!$F$14,$M147,AP$13)="",10^12,OFFSET(CRONOPLE!$F$14,$M147,AP$13))))</f>
        <v>1</v>
      </c>
      <c r="AQ147" s="216">
        <f ca="1">IF($D147&lt;&gt;"Serviço",0,IF(AND(AUTOEVENTO="Manual",$M147=1),0,IF(OFFSET(CRONOPLE!$F$14,$M147,AQ$13)="",10^12,OFFSET(CRONOPLE!$F$14,$M147,AQ$13))))</f>
        <v>2</v>
      </c>
      <c r="AR147" s="216">
        <f ca="1">IF($D147&lt;&gt;"Serviço",0,IF(AND(AUTOEVENTO="Manual",$M147=1),0,IF(OFFSET(CRONOPLE!$F$14,$M147,AR$13)="",10^12,OFFSET(CRONOPLE!$F$14,$M147,AR$13))))</f>
        <v>2</v>
      </c>
      <c r="AS147" s="216">
        <f ca="1">IF($D147&lt;&gt;"Serviço",0,IF(AND(AUTOEVENTO="Manual",$M147=1),0,IF(OFFSET(CRONOPLE!$F$14,$M147,AS$13)="",10^12,OFFSET(CRONOPLE!$F$14,$M147,AS$13))))</f>
        <v>2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hidden="1" x14ac:dyDescent="0.2">
      <c r="A148" s="9" t="str">
        <f t="shared" ca="1" si="18"/>
        <v>36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6</v>
      </c>
      <c r="N148" s="212" t="str">
        <f ca="1">IF($D148&lt;&gt;"Serviço","",IF(AUTOEVENTO="Manual",IF($A148=0,"&lt;-- defina o número do agrupador",OFFSET(EVENTOS!$D$14,$A148,0)),OFFSET($F$15,$A148,0)))</f>
        <v>ENSAIOS TECNOLÓGICOS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</v>
      </c>
      <c r="AN148" s="216">
        <f ca="1">IF($D148&lt;&gt;"Serviço",0,IF(AND(AUTOEVENTO="Manual",$M148=1),0,IF(OFFSET(CRONOPLE!$F$14,$M148,AN$13)="",10^12,OFFSET(CRONOPLE!$F$14,$M148,AN$13))))</f>
        <v>1</v>
      </c>
      <c r="AO148" s="216">
        <f ca="1">IF($D148&lt;&gt;"Serviço",0,IF(AND(AUTOEVENTO="Manual",$M148=1),0,IF(OFFSET(CRONOPLE!$F$14,$M148,AO$13)="",10^12,OFFSET(CRONOPLE!$F$14,$M148,AO$13))))</f>
        <v>1</v>
      </c>
      <c r="AP148" s="216">
        <f ca="1">IF($D148&lt;&gt;"Serviço",0,IF(AND(AUTOEVENTO="Manual",$M148=1),0,IF(OFFSET(CRONOPLE!$F$14,$M148,AP$13)="",10^12,OFFSET(CRONOPLE!$F$14,$M148,AP$13))))</f>
        <v>1</v>
      </c>
      <c r="AQ148" s="216">
        <f ca="1">IF($D148&lt;&gt;"Serviço",0,IF(AND(AUTOEVENTO="Manual",$M148=1),0,IF(OFFSET(CRONOPLE!$F$14,$M148,AQ$13)="",10^12,OFFSET(CRONOPLE!$F$14,$M148,AQ$13))))</f>
        <v>2</v>
      </c>
      <c r="AR148" s="216">
        <f ca="1">IF($D148&lt;&gt;"Serviço",0,IF(AND(AUTOEVENTO="Manual",$M148=1),0,IF(OFFSET(CRONOPLE!$F$14,$M148,AR$13)="",10^12,OFFSET(CRONOPLE!$F$14,$M148,AR$13))))</f>
        <v>2</v>
      </c>
      <c r="AS148" s="216">
        <f ca="1">IF($D148&lt;&gt;"Serviço",0,IF(AND(AUTOEVENTO="Manual",$M148=1),0,IF(OFFSET(CRONOPLE!$F$14,$M148,AS$13)="",10^12,OFFSET(CRONOPLE!$F$14,$M148,AS$13))))</f>
        <v>2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hidden="1" x14ac:dyDescent="0.2">
      <c r="A149" s="9" t="str">
        <f t="shared" ca="1" si="18"/>
        <v>36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6</v>
      </c>
      <c r="N149" s="212" t="str">
        <f ca="1">IF($D149&lt;&gt;"Serviço","",IF(AUTOEVENTO="Manual",IF($A149=0,"&lt;-- defina o número do agrupador",OFFSET(EVENTOS!$D$14,$A149,0)),OFFSET($F$15,$A149,0)))</f>
        <v>ENSAIOS TECNOLÓGICOS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</v>
      </c>
      <c r="AN149" s="216">
        <f ca="1">IF($D149&lt;&gt;"Serviço",0,IF(AND(AUTOEVENTO="Manual",$M149=1),0,IF(OFFSET(CRONOPLE!$F$14,$M149,AN$13)="",10^12,OFFSET(CRONOPLE!$F$14,$M149,AN$13))))</f>
        <v>1</v>
      </c>
      <c r="AO149" s="216">
        <f ca="1">IF($D149&lt;&gt;"Serviço",0,IF(AND(AUTOEVENTO="Manual",$M149=1),0,IF(OFFSET(CRONOPLE!$F$14,$M149,AO$13)="",10^12,OFFSET(CRONOPLE!$F$14,$M149,AO$13))))</f>
        <v>1</v>
      </c>
      <c r="AP149" s="216">
        <f ca="1">IF($D149&lt;&gt;"Serviço",0,IF(AND(AUTOEVENTO="Manual",$M149=1),0,IF(OFFSET(CRONOPLE!$F$14,$M149,AP$13)="",10^12,OFFSET(CRONOPLE!$F$14,$M149,AP$13))))</f>
        <v>1</v>
      </c>
      <c r="AQ149" s="216">
        <f ca="1">IF($D149&lt;&gt;"Serviço",0,IF(AND(AUTOEVENTO="Manual",$M149=1),0,IF(OFFSET(CRONOPLE!$F$14,$M149,AQ$13)="",10^12,OFFSET(CRONOPLE!$F$14,$M149,AQ$13))))</f>
        <v>2</v>
      </c>
      <c r="AR149" s="216">
        <f ca="1">IF($D149&lt;&gt;"Serviço",0,IF(AND(AUTOEVENTO="Manual",$M149=1),0,IF(OFFSET(CRONOPLE!$F$14,$M149,AR$13)="",10^12,OFFSET(CRONOPLE!$F$14,$M149,AR$13))))</f>
        <v>2</v>
      </c>
      <c r="AS149" s="216">
        <f ca="1">IF($D149&lt;&gt;"Serviço",0,IF(AND(AUTOEVENTO="Manual",$M149=1),0,IF(OFFSET(CRONOPLE!$F$14,$M149,AS$13)="",10^12,OFFSET(CRONOPLE!$F$14,$M149,AS$13))))</f>
        <v>2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hidden="1" x14ac:dyDescent="0.2">
      <c r="A150" s="9" t="str">
        <f t="shared" ca="1" si="18"/>
        <v>36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6</v>
      </c>
      <c r="N150" s="212" t="str">
        <f ca="1">IF($D150&lt;&gt;"Serviço","",IF(AUTOEVENTO="Manual",IF($A150=0,"&lt;-- defina o número do agrupador",OFFSET(EVENTOS!$D$14,$A150,0)),OFFSET($F$15,$A150,0)))</f>
        <v>ENSAIOS TECNOLÓGICOS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</v>
      </c>
      <c r="AN150" s="216">
        <f ca="1">IF($D150&lt;&gt;"Serviço",0,IF(AND(AUTOEVENTO="Manual",$M150=1),0,IF(OFFSET(CRONOPLE!$F$14,$M150,AN$13)="",10^12,OFFSET(CRONOPLE!$F$14,$M150,AN$13))))</f>
        <v>1</v>
      </c>
      <c r="AO150" s="216">
        <f ca="1">IF($D150&lt;&gt;"Serviço",0,IF(AND(AUTOEVENTO="Manual",$M150=1),0,IF(OFFSET(CRONOPLE!$F$14,$M150,AO$13)="",10^12,OFFSET(CRONOPLE!$F$14,$M150,AO$13))))</f>
        <v>1</v>
      </c>
      <c r="AP150" s="216">
        <f ca="1">IF($D150&lt;&gt;"Serviço",0,IF(AND(AUTOEVENTO="Manual",$M150=1),0,IF(OFFSET(CRONOPLE!$F$14,$M150,AP$13)="",10^12,OFFSET(CRONOPLE!$F$14,$M150,AP$13))))</f>
        <v>1</v>
      </c>
      <c r="AQ150" s="216">
        <f ca="1">IF($D150&lt;&gt;"Serviço",0,IF(AND(AUTOEVENTO="Manual",$M150=1),0,IF(OFFSET(CRONOPLE!$F$14,$M150,AQ$13)="",10^12,OFFSET(CRONOPLE!$F$14,$M150,AQ$13))))</f>
        <v>2</v>
      </c>
      <c r="AR150" s="216">
        <f ca="1">IF($D150&lt;&gt;"Serviço",0,IF(AND(AUTOEVENTO="Manual",$M150=1),0,IF(OFFSET(CRONOPLE!$F$14,$M150,AR$13)="",10^12,OFFSET(CRONOPLE!$F$14,$M150,AR$13))))</f>
        <v>2</v>
      </c>
      <c r="AS150" s="216">
        <f ca="1">IF($D150&lt;&gt;"Serviço",0,IF(AND(AUTOEVENTO="Manual",$M150=1),0,IF(OFFSET(CRONOPLE!$F$14,$M150,AS$13)="",10^12,OFFSET(CRONOPLE!$F$14,$M150,AS$13))))</f>
        <v>2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hidden="1" x14ac:dyDescent="0.2">
      <c r="A151" s="9" t="str">
        <f t="shared" ca="1" si="18"/>
        <v>36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6</v>
      </c>
      <c r="N151" s="212" t="str">
        <f ca="1">IF($D151&lt;&gt;"Serviço","",IF(AUTOEVENTO="Manual",IF($A151=0,"&lt;-- defina o número do agrupador",OFFSET(EVENTOS!$D$14,$A151,0)),OFFSET($F$15,$A151,0)))</f>
        <v>ENSAIOS TECNOLÓGICOS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</v>
      </c>
      <c r="AN151" s="216">
        <f ca="1">IF($D151&lt;&gt;"Serviço",0,IF(AND(AUTOEVENTO="Manual",$M151=1),0,IF(OFFSET(CRONOPLE!$F$14,$M151,AN$13)="",10^12,OFFSET(CRONOPLE!$F$14,$M151,AN$13))))</f>
        <v>1</v>
      </c>
      <c r="AO151" s="216">
        <f ca="1">IF($D151&lt;&gt;"Serviço",0,IF(AND(AUTOEVENTO="Manual",$M151=1),0,IF(OFFSET(CRONOPLE!$F$14,$M151,AO$13)="",10^12,OFFSET(CRONOPLE!$F$14,$M151,AO$13))))</f>
        <v>1</v>
      </c>
      <c r="AP151" s="216">
        <f ca="1">IF($D151&lt;&gt;"Serviço",0,IF(AND(AUTOEVENTO="Manual",$M151=1),0,IF(OFFSET(CRONOPLE!$F$14,$M151,AP$13)="",10^12,OFFSET(CRONOPLE!$F$14,$M151,AP$13))))</f>
        <v>1</v>
      </c>
      <c r="AQ151" s="216">
        <f ca="1">IF($D151&lt;&gt;"Serviço",0,IF(AND(AUTOEVENTO="Manual",$M151=1),0,IF(OFFSET(CRONOPLE!$F$14,$M151,AQ$13)="",10^12,OFFSET(CRONOPLE!$F$14,$M151,AQ$13))))</f>
        <v>2</v>
      </c>
      <c r="AR151" s="216">
        <f ca="1">IF($D151&lt;&gt;"Serviço",0,IF(AND(AUTOEVENTO="Manual",$M151=1),0,IF(OFFSET(CRONOPLE!$F$14,$M151,AR$13)="",10^12,OFFSET(CRONOPLE!$F$14,$M151,AR$13))))</f>
        <v>2</v>
      </c>
      <c r="AS151" s="216">
        <f ca="1">IF($D151&lt;&gt;"Serviço",0,IF(AND(AUTOEVENTO="Manual",$M151=1),0,IF(OFFSET(CRONOPLE!$F$14,$M151,AS$13)="",10^12,OFFSET(CRONOPLE!$F$14,$M151,AS$13))))</f>
        <v>2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hidden="1" x14ac:dyDescent="0.2">
      <c r="A152" s="9" t="str">
        <f t="shared" ca="1" si="18"/>
        <v>36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6</v>
      </c>
      <c r="N152" s="212" t="str">
        <f ca="1">IF($D152&lt;&gt;"Serviço","",IF(AUTOEVENTO="Manual",IF($A152=0,"&lt;-- defina o número do agrupador",OFFSET(EVENTOS!$D$14,$A152,0)),OFFSET($F$15,$A152,0)))</f>
        <v>ENSAIOS TECNOLÓGICOS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</v>
      </c>
      <c r="AN152" s="216">
        <f ca="1">IF($D152&lt;&gt;"Serviço",0,IF(AND(AUTOEVENTO="Manual",$M152=1),0,IF(OFFSET(CRONOPLE!$F$14,$M152,AN$13)="",10^12,OFFSET(CRONOPLE!$F$14,$M152,AN$13))))</f>
        <v>1</v>
      </c>
      <c r="AO152" s="216">
        <f ca="1">IF($D152&lt;&gt;"Serviço",0,IF(AND(AUTOEVENTO="Manual",$M152=1),0,IF(OFFSET(CRONOPLE!$F$14,$M152,AO$13)="",10^12,OFFSET(CRONOPLE!$F$14,$M152,AO$13))))</f>
        <v>1</v>
      </c>
      <c r="AP152" s="216">
        <f ca="1">IF($D152&lt;&gt;"Serviço",0,IF(AND(AUTOEVENTO="Manual",$M152=1),0,IF(OFFSET(CRONOPLE!$F$14,$M152,AP$13)="",10^12,OFFSET(CRONOPLE!$F$14,$M152,AP$13))))</f>
        <v>1</v>
      </c>
      <c r="AQ152" s="216">
        <f ca="1">IF($D152&lt;&gt;"Serviço",0,IF(AND(AUTOEVENTO="Manual",$M152=1),0,IF(OFFSET(CRONOPLE!$F$14,$M152,AQ$13)="",10^12,OFFSET(CRONOPLE!$F$14,$M152,AQ$13))))</f>
        <v>2</v>
      </c>
      <c r="AR152" s="216">
        <f ca="1">IF($D152&lt;&gt;"Serviço",0,IF(AND(AUTOEVENTO="Manual",$M152=1),0,IF(OFFSET(CRONOPLE!$F$14,$M152,AR$13)="",10^12,OFFSET(CRONOPLE!$F$14,$M152,AR$13))))</f>
        <v>2</v>
      </c>
      <c r="AS152" s="216">
        <f ca="1">IF($D152&lt;&gt;"Serviço",0,IF(AND(AUTOEVENTO="Manual",$M152=1),0,IF(OFFSET(CRONOPLE!$F$14,$M152,AS$13)="",10^12,OFFSET(CRONOPLE!$F$14,$M152,AS$13))))</f>
        <v>2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hidden="1" x14ac:dyDescent="0.2">
      <c r="A153" s="9" t="str">
        <f t="shared" ca="1" si="18"/>
        <v>36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6</v>
      </c>
      <c r="N153" s="212" t="str">
        <f ca="1">IF($D153&lt;&gt;"Serviço","",IF(AUTOEVENTO="Manual",IF($A153=0,"&lt;-- defina o número do agrupador",OFFSET(EVENTOS!$D$14,$A153,0)),OFFSET($F$15,$A153,0)))</f>
        <v>ENSAIOS TECNOLÓGICOS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</v>
      </c>
      <c r="AN153" s="216">
        <f ca="1">IF($D153&lt;&gt;"Serviço",0,IF(AND(AUTOEVENTO="Manual",$M153=1),0,IF(OFFSET(CRONOPLE!$F$14,$M153,AN$13)="",10^12,OFFSET(CRONOPLE!$F$14,$M153,AN$13))))</f>
        <v>1</v>
      </c>
      <c r="AO153" s="216">
        <f ca="1">IF($D153&lt;&gt;"Serviço",0,IF(AND(AUTOEVENTO="Manual",$M153=1),0,IF(OFFSET(CRONOPLE!$F$14,$M153,AO$13)="",10^12,OFFSET(CRONOPLE!$F$14,$M153,AO$13))))</f>
        <v>1</v>
      </c>
      <c r="AP153" s="216">
        <f ca="1">IF($D153&lt;&gt;"Serviço",0,IF(AND(AUTOEVENTO="Manual",$M153=1),0,IF(OFFSET(CRONOPLE!$F$14,$M153,AP$13)="",10^12,OFFSET(CRONOPLE!$F$14,$M153,AP$13))))</f>
        <v>1</v>
      </c>
      <c r="AQ153" s="216">
        <f ca="1">IF($D153&lt;&gt;"Serviço",0,IF(AND(AUTOEVENTO="Manual",$M153=1),0,IF(OFFSET(CRONOPLE!$F$14,$M153,AQ$13)="",10^12,OFFSET(CRONOPLE!$F$14,$M153,AQ$13))))</f>
        <v>2</v>
      </c>
      <c r="AR153" s="216">
        <f ca="1">IF($D153&lt;&gt;"Serviço",0,IF(AND(AUTOEVENTO="Manual",$M153=1),0,IF(OFFSET(CRONOPLE!$F$14,$M153,AR$13)="",10^12,OFFSET(CRONOPLE!$F$14,$M153,AR$13))))</f>
        <v>2</v>
      </c>
      <c r="AS153" s="216">
        <f ca="1">IF($D153&lt;&gt;"Serviço",0,IF(AND(AUTOEVENTO="Manual",$M153=1),0,IF(OFFSET(CRONOPLE!$F$14,$M153,AS$13)="",10^12,OFFSET(CRONOPLE!$F$14,$M153,AS$13))))</f>
        <v>2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hidden="1" x14ac:dyDescent="0.2">
      <c r="A154" s="9" t="str">
        <f t="shared" ca="1" si="18"/>
        <v>36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6</v>
      </c>
      <c r="N154" s="212" t="str">
        <f ca="1">IF($D154&lt;&gt;"Serviço","",IF(AUTOEVENTO="Manual",IF($A154=0,"&lt;-- defina o número do agrupador",OFFSET(EVENTOS!$D$14,$A154,0)),OFFSET($F$15,$A154,0)))</f>
        <v>ENSAIOS TECNOLÓGICOS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</v>
      </c>
      <c r="AN154" s="216">
        <f ca="1">IF($D154&lt;&gt;"Serviço",0,IF(AND(AUTOEVENTO="Manual",$M154=1),0,IF(OFFSET(CRONOPLE!$F$14,$M154,AN$13)="",10^12,OFFSET(CRONOPLE!$F$14,$M154,AN$13))))</f>
        <v>1</v>
      </c>
      <c r="AO154" s="216">
        <f ca="1">IF($D154&lt;&gt;"Serviço",0,IF(AND(AUTOEVENTO="Manual",$M154=1),0,IF(OFFSET(CRONOPLE!$F$14,$M154,AO$13)="",10^12,OFFSET(CRONOPLE!$F$14,$M154,AO$13))))</f>
        <v>1</v>
      </c>
      <c r="AP154" s="216">
        <f ca="1">IF($D154&lt;&gt;"Serviço",0,IF(AND(AUTOEVENTO="Manual",$M154=1),0,IF(OFFSET(CRONOPLE!$F$14,$M154,AP$13)="",10^12,OFFSET(CRONOPLE!$F$14,$M154,AP$13))))</f>
        <v>1</v>
      </c>
      <c r="AQ154" s="216">
        <f ca="1">IF($D154&lt;&gt;"Serviço",0,IF(AND(AUTOEVENTO="Manual",$M154=1),0,IF(OFFSET(CRONOPLE!$F$14,$M154,AQ$13)="",10^12,OFFSET(CRONOPLE!$F$14,$M154,AQ$13))))</f>
        <v>2</v>
      </c>
      <c r="AR154" s="216">
        <f ca="1">IF($D154&lt;&gt;"Serviço",0,IF(AND(AUTOEVENTO="Manual",$M154=1),0,IF(OFFSET(CRONOPLE!$F$14,$M154,AR$13)="",10^12,OFFSET(CRONOPLE!$F$14,$M154,AR$13))))</f>
        <v>2</v>
      </c>
      <c r="AS154" s="216">
        <f ca="1">IF($D154&lt;&gt;"Serviço",0,IF(AND(AUTOEVENTO="Manual",$M154=1),0,IF(OFFSET(CRONOPLE!$F$14,$M154,AS$13)="",10^12,OFFSET(CRONOPLE!$F$14,$M154,AS$13))))</f>
        <v>2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hidden="1" x14ac:dyDescent="0.2">
      <c r="A155" s="9" t="str">
        <f t="shared" ca="1" si="18"/>
        <v>36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6</v>
      </c>
      <c r="N155" s="212" t="str">
        <f ca="1">IF($D155&lt;&gt;"Serviço","",IF(AUTOEVENTO="Manual",IF($A155=0,"&lt;-- defina o número do agrupador",OFFSET(EVENTOS!$D$14,$A155,0)),OFFSET($F$15,$A155,0)))</f>
        <v>ENSAIOS TECNOLÓGICOS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</v>
      </c>
      <c r="AN155" s="216">
        <f ca="1">IF($D155&lt;&gt;"Serviço",0,IF(AND(AUTOEVENTO="Manual",$M155=1),0,IF(OFFSET(CRONOPLE!$F$14,$M155,AN$13)="",10^12,OFFSET(CRONOPLE!$F$14,$M155,AN$13))))</f>
        <v>1</v>
      </c>
      <c r="AO155" s="216">
        <f ca="1">IF($D155&lt;&gt;"Serviço",0,IF(AND(AUTOEVENTO="Manual",$M155=1),0,IF(OFFSET(CRONOPLE!$F$14,$M155,AO$13)="",10^12,OFFSET(CRONOPLE!$F$14,$M155,AO$13))))</f>
        <v>1</v>
      </c>
      <c r="AP155" s="216">
        <f ca="1">IF($D155&lt;&gt;"Serviço",0,IF(AND(AUTOEVENTO="Manual",$M155=1),0,IF(OFFSET(CRONOPLE!$F$14,$M155,AP$13)="",10^12,OFFSET(CRONOPLE!$F$14,$M155,AP$13))))</f>
        <v>1</v>
      </c>
      <c r="AQ155" s="216">
        <f ca="1">IF($D155&lt;&gt;"Serviço",0,IF(AND(AUTOEVENTO="Manual",$M155=1),0,IF(OFFSET(CRONOPLE!$F$14,$M155,AQ$13)="",10^12,OFFSET(CRONOPLE!$F$14,$M155,AQ$13))))</f>
        <v>2</v>
      </c>
      <c r="AR155" s="216">
        <f ca="1">IF($D155&lt;&gt;"Serviço",0,IF(AND(AUTOEVENTO="Manual",$M155=1),0,IF(OFFSET(CRONOPLE!$F$14,$M155,AR$13)="",10^12,OFFSET(CRONOPLE!$F$14,$M155,AR$13))))</f>
        <v>2</v>
      </c>
      <c r="AS155" s="216">
        <f ca="1">IF($D155&lt;&gt;"Serviço",0,IF(AND(AUTOEVENTO="Manual",$M155=1),0,IF(OFFSET(CRONOPLE!$F$14,$M155,AS$13)="",10^12,OFFSET(CRONOPLE!$F$14,$M155,AS$13))))</f>
        <v>2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hidden="1" x14ac:dyDescent="0.2">
      <c r="A156" s="9" t="str">
        <f t="shared" ca="1" si="18"/>
        <v>36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6</v>
      </c>
      <c r="N156" s="212" t="str">
        <f ca="1">IF($D156&lt;&gt;"Serviço","",IF(AUTOEVENTO="Manual",IF($A156=0,"&lt;-- defina o número do agrupador",OFFSET(EVENTOS!$D$14,$A156,0)),OFFSET($F$15,$A156,0)))</f>
        <v>ENSAIOS TECNOLÓGICOS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</v>
      </c>
      <c r="AN156" s="216">
        <f ca="1">IF($D156&lt;&gt;"Serviço",0,IF(AND(AUTOEVENTO="Manual",$M156=1),0,IF(OFFSET(CRONOPLE!$F$14,$M156,AN$13)="",10^12,OFFSET(CRONOPLE!$F$14,$M156,AN$13))))</f>
        <v>1</v>
      </c>
      <c r="AO156" s="216">
        <f ca="1">IF($D156&lt;&gt;"Serviço",0,IF(AND(AUTOEVENTO="Manual",$M156=1),0,IF(OFFSET(CRONOPLE!$F$14,$M156,AO$13)="",10^12,OFFSET(CRONOPLE!$F$14,$M156,AO$13))))</f>
        <v>1</v>
      </c>
      <c r="AP156" s="216">
        <f ca="1">IF($D156&lt;&gt;"Serviço",0,IF(AND(AUTOEVENTO="Manual",$M156=1),0,IF(OFFSET(CRONOPLE!$F$14,$M156,AP$13)="",10^12,OFFSET(CRONOPLE!$F$14,$M156,AP$13))))</f>
        <v>1</v>
      </c>
      <c r="AQ156" s="216">
        <f ca="1">IF($D156&lt;&gt;"Serviço",0,IF(AND(AUTOEVENTO="Manual",$M156=1),0,IF(OFFSET(CRONOPLE!$F$14,$M156,AQ$13)="",10^12,OFFSET(CRONOPLE!$F$14,$M156,AQ$13))))</f>
        <v>2</v>
      </c>
      <c r="AR156" s="216">
        <f ca="1">IF($D156&lt;&gt;"Serviço",0,IF(AND(AUTOEVENTO="Manual",$M156=1),0,IF(OFFSET(CRONOPLE!$F$14,$M156,AR$13)="",10^12,OFFSET(CRONOPLE!$F$14,$M156,AR$13))))</f>
        <v>2</v>
      </c>
      <c r="AS156" s="216">
        <f ca="1">IF($D156&lt;&gt;"Serviço",0,IF(AND(AUTOEVENTO="Manual",$M156=1),0,IF(OFFSET(CRONOPLE!$F$14,$M156,AS$13)="",10^12,OFFSET(CRONOPLE!$F$14,$M156,AS$13))))</f>
        <v>2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hidden="1" x14ac:dyDescent="0.2">
      <c r="A157" s="9" t="str">
        <f t="shared" ca="1" si="18"/>
        <v>36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6</v>
      </c>
      <c r="N157" s="212" t="str">
        <f ca="1">IF($D157&lt;&gt;"Serviço","",IF(AUTOEVENTO="Manual",IF($A157=0,"&lt;-- defina o número do agrupador",OFFSET(EVENTOS!$D$14,$A157,0)),OFFSET($F$15,$A157,0)))</f>
        <v>ENSAIOS TECNOLÓGICOS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</v>
      </c>
      <c r="AN157" s="216">
        <f ca="1">IF($D157&lt;&gt;"Serviço",0,IF(AND(AUTOEVENTO="Manual",$M157=1),0,IF(OFFSET(CRONOPLE!$F$14,$M157,AN$13)="",10^12,OFFSET(CRONOPLE!$F$14,$M157,AN$13))))</f>
        <v>1</v>
      </c>
      <c r="AO157" s="216">
        <f ca="1">IF($D157&lt;&gt;"Serviço",0,IF(AND(AUTOEVENTO="Manual",$M157=1),0,IF(OFFSET(CRONOPLE!$F$14,$M157,AO$13)="",10^12,OFFSET(CRONOPLE!$F$14,$M157,AO$13))))</f>
        <v>1</v>
      </c>
      <c r="AP157" s="216">
        <f ca="1">IF($D157&lt;&gt;"Serviço",0,IF(AND(AUTOEVENTO="Manual",$M157=1),0,IF(OFFSET(CRONOPLE!$F$14,$M157,AP$13)="",10^12,OFFSET(CRONOPLE!$F$14,$M157,AP$13))))</f>
        <v>1</v>
      </c>
      <c r="AQ157" s="216">
        <f ca="1">IF($D157&lt;&gt;"Serviço",0,IF(AND(AUTOEVENTO="Manual",$M157=1),0,IF(OFFSET(CRONOPLE!$F$14,$M157,AQ$13)="",10^12,OFFSET(CRONOPLE!$F$14,$M157,AQ$13))))</f>
        <v>2</v>
      </c>
      <c r="AR157" s="216">
        <f ca="1">IF($D157&lt;&gt;"Serviço",0,IF(AND(AUTOEVENTO="Manual",$M157=1),0,IF(OFFSET(CRONOPLE!$F$14,$M157,AR$13)="",10^12,OFFSET(CRONOPLE!$F$14,$M157,AR$13))))</f>
        <v>2</v>
      </c>
      <c r="AS157" s="216">
        <f ca="1">IF($D157&lt;&gt;"Serviço",0,IF(AND(AUTOEVENTO="Manual",$M157=1),0,IF(OFFSET(CRONOPLE!$F$14,$M157,AS$13)="",10^12,OFFSET(CRONOPLE!$F$14,$M157,AS$13))))</f>
        <v>2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hidden="1" x14ac:dyDescent="0.2">
      <c r="A158" s="9" t="str">
        <f t="shared" ca="1" si="18"/>
        <v>36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6</v>
      </c>
      <c r="N158" s="212" t="str">
        <f ca="1">IF($D158&lt;&gt;"Serviço","",IF(AUTOEVENTO="Manual",IF($A158=0,"&lt;-- defina o número do agrupador",OFFSET(EVENTOS!$D$14,$A158,0)),OFFSET($F$15,$A158,0)))</f>
        <v>ENSAIOS TECNOLÓGICOS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</v>
      </c>
      <c r="AN158" s="216">
        <f ca="1">IF($D158&lt;&gt;"Serviço",0,IF(AND(AUTOEVENTO="Manual",$M158=1),0,IF(OFFSET(CRONOPLE!$F$14,$M158,AN$13)="",10^12,OFFSET(CRONOPLE!$F$14,$M158,AN$13))))</f>
        <v>1</v>
      </c>
      <c r="AO158" s="216">
        <f ca="1">IF($D158&lt;&gt;"Serviço",0,IF(AND(AUTOEVENTO="Manual",$M158=1),0,IF(OFFSET(CRONOPLE!$F$14,$M158,AO$13)="",10^12,OFFSET(CRONOPLE!$F$14,$M158,AO$13))))</f>
        <v>1</v>
      </c>
      <c r="AP158" s="216">
        <f ca="1">IF($D158&lt;&gt;"Serviço",0,IF(AND(AUTOEVENTO="Manual",$M158=1),0,IF(OFFSET(CRONOPLE!$F$14,$M158,AP$13)="",10^12,OFFSET(CRONOPLE!$F$14,$M158,AP$13))))</f>
        <v>1</v>
      </c>
      <c r="AQ158" s="216">
        <f ca="1">IF($D158&lt;&gt;"Serviço",0,IF(AND(AUTOEVENTO="Manual",$M158=1),0,IF(OFFSET(CRONOPLE!$F$14,$M158,AQ$13)="",10^12,OFFSET(CRONOPLE!$F$14,$M158,AQ$13))))</f>
        <v>2</v>
      </c>
      <c r="AR158" s="216">
        <f ca="1">IF($D158&lt;&gt;"Serviço",0,IF(AND(AUTOEVENTO="Manual",$M158=1),0,IF(OFFSET(CRONOPLE!$F$14,$M158,AR$13)="",10^12,OFFSET(CRONOPLE!$F$14,$M158,AR$13))))</f>
        <v>2</v>
      </c>
      <c r="AS158" s="216">
        <f ca="1">IF($D158&lt;&gt;"Serviço",0,IF(AND(AUTOEVENTO="Manual",$M158=1),0,IF(OFFSET(CRONOPLE!$F$14,$M158,AS$13)="",10^12,OFFSET(CRONOPLE!$F$14,$M158,AS$13))))</f>
        <v>2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hidden="1" x14ac:dyDescent="0.2">
      <c r="A159" s="9" t="str">
        <f t="shared" ca="1" si="18"/>
        <v>36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6</v>
      </c>
      <c r="N159" s="212" t="str">
        <f ca="1">IF($D159&lt;&gt;"Serviço","",IF(AUTOEVENTO="Manual",IF($A159=0,"&lt;-- defina o número do agrupador",OFFSET(EVENTOS!$D$14,$A159,0)),OFFSET($F$15,$A159,0)))</f>
        <v>ENSAIOS TECNOLÓGICOS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</v>
      </c>
      <c r="AN159" s="216">
        <f ca="1">IF($D159&lt;&gt;"Serviço",0,IF(AND(AUTOEVENTO="Manual",$M159=1),0,IF(OFFSET(CRONOPLE!$F$14,$M159,AN$13)="",10^12,OFFSET(CRONOPLE!$F$14,$M159,AN$13))))</f>
        <v>1</v>
      </c>
      <c r="AO159" s="216">
        <f ca="1">IF($D159&lt;&gt;"Serviço",0,IF(AND(AUTOEVENTO="Manual",$M159=1),0,IF(OFFSET(CRONOPLE!$F$14,$M159,AO$13)="",10^12,OFFSET(CRONOPLE!$F$14,$M159,AO$13))))</f>
        <v>1</v>
      </c>
      <c r="AP159" s="216">
        <f ca="1">IF($D159&lt;&gt;"Serviço",0,IF(AND(AUTOEVENTO="Manual",$M159=1),0,IF(OFFSET(CRONOPLE!$F$14,$M159,AP$13)="",10^12,OFFSET(CRONOPLE!$F$14,$M159,AP$13))))</f>
        <v>1</v>
      </c>
      <c r="AQ159" s="216">
        <f ca="1">IF($D159&lt;&gt;"Serviço",0,IF(AND(AUTOEVENTO="Manual",$M159=1),0,IF(OFFSET(CRONOPLE!$F$14,$M159,AQ$13)="",10^12,OFFSET(CRONOPLE!$F$14,$M159,AQ$13))))</f>
        <v>2</v>
      </c>
      <c r="AR159" s="216">
        <f ca="1">IF($D159&lt;&gt;"Serviço",0,IF(AND(AUTOEVENTO="Manual",$M159=1),0,IF(OFFSET(CRONOPLE!$F$14,$M159,AR$13)="",10^12,OFFSET(CRONOPLE!$F$14,$M159,AR$13))))</f>
        <v>2</v>
      </c>
      <c r="AS159" s="216">
        <f ca="1">IF($D159&lt;&gt;"Serviço",0,IF(AND(AUTOEVENTO="Manual",$M159=1),0,IF(OFFSET(CRONOPLE!$F$14,$M159,AS$13)="",10^12,OFFSET(CRONOPLE!$F$14,$M159,AS$13))))</f>
        <v>2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hidden="1" x14ac:dyDescent="0.2">
      <c r="A160" s="9" t="str">
        <f t="shared" ca="1" si="18"/>
        <v>36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6</v>
      </c>
      <c r="N160" s="212" t="str">
        <f ca="1">IF($D160&lt;&gt;"Serviço","",IF(AUTOEVENTO="Manual",IF($A160=0,"&lt;-- defina o número do agrupador",OFFSET(EVENTOS!$D$14,$A160,0)),OFFSET($F$15,$A160,0)))</f>
        <v>ENSAIOS TECNOLÓGICOS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</v>
      </c>
      <c r="AN160" s="216">
        <f ca="1">IF($D160&lt;&gt;"Serviço",0,IF(AND(AUTOEVENTO="Manual",$M160=1),0,IF(OFFSET(CRONOPLE!$F$14,$M160,AN$13)="",10^12,OFFSET(CRONOPLE!$F$14,$M160,AN$13))))</f>
        <v>1</v>
      </c>
      <c r="AO160" s="216">
        <f ca="1">IF($D160&lt;&gt;"Serviço",0,IF(AND(AUTOEVENTO="Manual",$M160=1),0,IF(OFFSET(CRONOPLE!$F$14,$M160,AO$13)="",10^12,OFFSET(CRONOPLE!$F$14,$M160,AO$13))))</f>
        <v>1</v>
      </c>
      <c r="AP160" s="216">
        <f ca="1">IF($D160&lt;&gt;"Serviço",0,IF(AND(AUTOEVENTO="Manual",$M160=1),0,IF(OFFSET(CRONOPLE!$F$14,$M160,AP$13)="",10^12,OFFSET(CRONOPLE!$F$14,$M160,AP$13))))</f>
        <v>1</v>
      </c>
      <c r="AQ160" s="216">
        <f ca="1">IF($D160&lt;&gt;"Serviço",0,IF(AND(AUTOEVENTO="Manual",$M160=1),0,IF(OFFSET(CRONOPLE!$F$14,$M160,AQ$13)="",10^12,OFFSET(CRONOPLE!$F$14,$M160,AQ$13))))</f>
        <v>2</v>
      </c>
      <c r="AR160" s="216">
        <f ca="1">IF($D160&lt;&gt;"Serviço",0,IF(AND(AUTOEVENTO="Manual",$M160=1),0,IF(OFFSET(CRONOPLE!$F$14,$M160,AR$13)="",10^12,OFFSET(CRONOPLE!$F$14,$M160,AR$13))))</f>
        <v>2</v>
      </c>
      <c r="AS160" s="216">
        <f ca="1">IF($D160&lt;&gt;"Serviço",0,IF(AND(AUTOEVENTO="Manual",$M160=1),0,IF(OFFSET(CRONOPLE!$F$14,$M160,AS$13)="",10^12,OFFSET(CRONOPLE!$F$14,$M160,AS$13))))</f>
        <v>2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hidden="1" x14ac:dyDescent="0.2">
      <c r="A161" s="9" t="str">
        <f t="shared" ca="1" si="18"/>
        <v>36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6</v>
      </c>
      <c r="N161" s="212" t="str">
        <f ca="1">IF($D161&lt;&gt;"Serviço","",IF(AUTOEVENTO="Manual",IF($A161=0,"&lt;-- defina o número do agrupador",OFFSET(EVENTOS!$D$14,$A161,0)),OFFSET($F$15,$A161,0)))</f>
        <v>ENSAIOS TECNOLÓGICOS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</v>
      </c>
      <c r="AN161" s="216">
        <f ca="1">IF($D161&lt;&gt;"Serviço",0,IF(AND(AUTOEVENTO="Manual",$M161=1),0,IF(OFFSET(CRONOPLE!$F$14,$M161,AN$13)="",10^12,OFFSET(CRONOPLE!$F$14,$M161,AN$13))))</f>
        <v>1</v>
      </c>
      <c r="AO161" s="216">
        <f ca="1">IF($D161&lt;&gt;"Serviço",0,IF(AND(AUTOEVENTO="Manual",$M161=1),0,IF(OFFSET(CRONOPLE!$F$14,$M161,AO$13)="",10^12,OFFSET(CRONOPLE!$F$14,$M161,AO$13))))</f>
        <v>1</v>
      </c>
      <c r="AP161" s="216">
        <f ca="1">IF($D161&lt;&gt;"Serviço",0,IF(AND(AUTOEVENTO="Manual",$M161=1),0,IF(OFFSET(CRONOPLE!$F$14,$M161,AP$13)="",10^12,OFFSET(CRONOPLE!$F$14,$M161,AP$13))))</f>
        <v>1</v>
      </c>
      <c r="AQ161" s="216">
        <f ca="1">IF($D161&lt;&gt;"Serviço",0,IF(AND(AUTOEVENTO="Manual",$M161=1),0,IF(OFFSET(CRONOPLE!$F$14,$M161,AQ$13)="",10^12,OFFSET(CRONOPLE!$F$14,$M161,AQ$13))))</f>
        <v>2</v>
      </c>
      <c r="AR161" s="216">
        <f ca="1">IF($D161&lt;&gt;"Serviço",0,IF(AND(AUTOEVENTO="Manual",$M161=1),0,IF(OFFSET(CRONOPLE!$F$14,$M161,AR$13)="",10^12,OFFSET(CRONOPLE!$F$14,$M161,AR$13))))</f>
        <v>2</v>
      </c>
      <c r="AS161" s="216">
        <f ca="1">IF($D161&lt;&gt;"Serviço",0,IF(AND(AUTOEVENTO="Manual",$M161=1),0,IF(OFFSET(CRONOPLE!$F$14,$M161,AS$13)="",10^12,OFFSET(CRONOPLE!$F$14,$M161,AS$13))))</f>
        <v>2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hidden="1" x14ac:dyDescent="0.2">
      <c r="A162" s="9" t="str">
        <f t="shared" ca="1" si="18"/>
        <v>36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6</v>
      </c>
      <c r="N162" s="212" t="str">
        <f ca="1">IF($D162&lt;&gt;"Serviço","",IF(AUTOEVENTO="Manual",IF($A162=0,"&lt;-- defina o número do agrupador",OFFSET(EVENTOS!$D$14,$A162,0)),OFFSET($F$15,$A162,0)))</f>
        <v>ENSAIOS TECNOLÓGICOS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</v>
      </c>
      <c r="AN162" s="216">
        <f ca="1">IF($D162&lt;&gt;"Serviço",0,IF(AND(AUTOEVENTO="Manual",$M162=1),0,IF(OFFSET(CRONOPLE!$F$14,$M162,AN$13)="",10^12,OFFSET(CRONOPLE!$F$14,$M162,AN$13))))</f>
        <v>1</v>
      </c>
      <c r="AO162" s="216">
        <f ca="1">IF($D162&lt;&gt;"Serviço",0,IF(AND(AUTOEVENTO="Manual",$M162=1),0,IF(OFFSET(CRONOPLE!$F$14,$M162,AO$13)="",10^12,OFFSET(CRONOPLE!$F$14,$M162,AO$13))))</f>
        <v>1</v>
      </c>
      <c r="AP162" s="216">
        <f ca="1">IF($D162&lt;&gt;"Serviço",0,IF(AND(AUTOEVENTO="Manual",$M162=1),0,IF(OFFSET(CRONOPLE!$F$14,$M162,AP$13)="",10^12,OFFSET(CRONOPLE!$F$14,$M162,AP$13))))</f>
        <v>1</v>
      </c>
      <c r="AQ162" s="216">
        <f ca="1">IF($D162&lt;&gt;"Serviço",0,IF(AND(AUTOEVENTO="Manual",$M162=1),0,IF(OFFSET(CRONOPLE!$F$14,$M162,AQ$13)="",10^12,OFFSET(CRONOPLE!$F$14,$M162,AQ$13))))</f>
        <v>2</v>
      </c>
      <c r="AR162" s="216">
        <f ca="1">IF($D162&lt;&gt;"Serviço",0,IF(AND(AUTOEVENTO="Manual",$M162=1),0,IF(OFFSET(CRONOPLE!$F$14,$M162,AR$13)="",10^12,OFFSET(CRONOPLE!$F$14,$M162,AR$13))))</f>
        <v>2</v>
      </c>
      <c r="AS162" s="216">
        <f ca="1">IF($D162&lt;&gt;"Serviço",0,IF(AND(AUTOEVENTO="Manual",$M162=1),0,IF(OFFSET(CRONOPLE!$F$14,$M162,AS$13)="",10^12,OFFSET(CRONOPLE!$F$14,$M162,AS$13))))</f>
        <v>2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hidden="1" x14ac:dyDescent="0.2">
      <c r="A163" s="9" t="str">
        <f t="shared" ca="1" si="18"/>
        <v>36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6</v>
      </c>
      <c r="N163" s="212" t="str">
        <f ca="1">IF($D163&lt;&gt;"Serviço","",IF(AUTOEVENTO="Manual",IF($A163=0,"&lt;-- defina o número do agrupador",OFFSET(EVENTOS!$D$14,$A163,0)),OFFSET($F$15,$A163,0)))</f>
        <v>ENSAIOS TECNOLÓGICOS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</v>
      </c>
      <c r="AN163" s="216">
        <f ca="1">IF($D163&lt;&gt;"Serviço",0,IF(AND(AUTOEVENTO="Manual",$M163=1),0,IF(OFFSET(CRONOPLE!$F$14,$M163,AN$13)="",10^12,OFFSET(CRONOPLE!$F$14,$M163,AN$13))))</f>
        <v>1</v>
      </c>
      <c r="AO163" s="216">
        <f ca="1">IF($D163&lt;&gt;"Serviço",0,IF(AND(AUTOEVENTO="Manual",$M163=1),0,IF(OFFSET(CRONOPLE!$F$14,$M163,AO$13)="",10^12,OFFSET(CRONOPLE!$F$14,$M163,AO$13))))</f>
        <v>1</v>
      </c>
      <c r="AP163" s="216">
        <f ca="1">IF($D163&lt;&gt;"Serviço",0,IF(AND(AUTOEVENTO="Manual",$M163=1),0,IF(OFFSET(CRONOPLE!$F$14,$M163,AP$13)="",10^12,OFFSET(CRONOPLE!$F$14,$M163,AP$13))))</f>
        <v>1</v>
      </c>
      <c r="AQ163" s="216">
        <f ca="1">IF($D163&lt;&gt;"Serviço",0,IF(AND(AUTOEVENTO="Manual",$M163=1),0,IF(OFFSET(CRONOPLE!$F$14,$M163,AQ$13)="",10^12,OFFSET(CRONOPLE!$F$14,$M163,AQ$13))))</f>
        <v>2</v>
      </c>
      <c r="AR163" s="216">
        <f ca="1">IF($D163&lt;&gt;"Serviço",0,IF(AND(AUTOEVENTO="Manual",$M163=1),0,IF(OFFSET(CRONOPLE!$F$14,$M163,AR$13)="",10^12,OFFSET(CRONOPLE!$F$14,$M163,AR$13))))</f>
        <v>2</v>
      </c>
      <c r="AS163" s="216">
        <f ca="1">IF($D163&lt;&gt;"Serviço",0,IF(AND(AUTOEVENTO="Manual",$M163=1),0,IF(OFFSET(CRONOPLE!$F$14,$M163,AS$13)="",10^12,OFFSET(CRONOPLE!$F$14,$M163,AS$13))))</f>
        <v>2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hidden="1" x14ac:dyDescent="0.2">
      <c r="A164" s="9" t="str">
        <f t="shared" ca="1" si="18"/>
        <v>36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6</v>
      </c>
      <c r="N164" s="212" t="str">
        <f ca="1">IF($D164&lt;&gt;"Serviço","",IF(AUTOEVENTO="Manual",IF($A164=0,"&lt;-- defina o número do agrupador",OFFSET(EVENTOS!$D$14,$A164,0)),OFFSET($F$15,$A164,0)))</f>
        <v>ENSAIOS TECNOLÓGICOS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</v>
      </c>
      <c r="AN164" s="216">
        <f ca="1">IF($D164&lt;&gt;"Serviço",0,IF(AND(AUTOEVENTO="Manual",$M164=1),0,IF(OFFSET(CRONOPLE!$F$14,$M164,AN$13)="",10^12,OFFSET(CRONOPLE!$F$14,$M164,AN$13))))</f>
        <v>1</v>
      </c>
      <c r="AO164" s="216">
        <f ca="1">IF($D164&lt;&gt;"Serviço",0,IF(AND(AUTOEVENTO="Manual",$M164=1),0,IF(OFFSET(CRONOPLE!$F$14,$M164,AO$13)="",10^12,OFFSET(CRONOPLE!$F$14,$M164,AO$13))))</f>
        <v>1</v>
      </c>
      <c r="AP164" s="216">
        <f ca="1">IF($D164&lt;&gt;"Serviço",0,IF(AND(AUTOEVENTO="Manual",$M164=1),0,IF(OFFSET(CRONOPLE!$F$14,$M164,AP$13)="",10^12,OFFSET(CRONOPLE!$F$14,$M164,AP$13))))</f>
        <v>1</v>
      </c>
      <c r="AQ164" s="216">
        <f ca="1">IF($D164&lt;&gt;"Serviço",0,IF(AND(AUTOEVENTO="Manual",$M164=1),0,IF(OFFSET(CRONOPLE!$F$14,$M164,AQ$13)="",10^12,OFFSET(CRONOPLE!$F$14,$M164,AQ$13))))</f>
        <v>2</v>
      </c>
      <c r="AR164" s="216">
        <f ca="1">IF($D164&lt;&gt;"Serviço",0,IF(AND(AUTOEVENTO="Manual",$M164=1),0,IF(OFFSET(CRONOPLE!$F$14,$M164,AR$13)="",10^12,OFFSET(CRONOPLE!$F$14,$M164,AR$13))))</f>
        <v>2</v>
      </c>
      <c r="AS164" s="216">
        <f ca="1">IF($D164&lt;&gt;"Serviço",0,IF(AND(AUTOEVENTO="Manual",$M164=1),0,IF(OFFSET(CRONOPLE!$F$14,$M164,AS$13)="",10^12,OFFSET(CRONOPLE!$F$14,$M164,AS$13))))</f>
        <v>2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hidden="1" x14ac:dyDescent="0.2">
      <c r="A165" s="9" t="str">
        <f t="shared" ca="1" si="18"/>
        <v>36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6</v>
      </c>
      <c r="N165" s="212" t="str">
        <f ca="1">IF($D165&lt;&gt;"Serviço","",IF(AUTOEVENTO="Manual",IF($A165=0,"&lt;-- defina o número do agrupador",OFFSET(EVENTOS!$D$14,$A165,0)),OFFSET($F$15,$A165,0)))</f>
        <v>ENSAIOS TECNOLÓGICOS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</v>
      </c>
      <c r="AN165" s="216">
        <f ca="1">IF($D165&lt;&gt;"Serviço",0,IF(AND(AUTOEVENTO="Manual",$M165=1),0,IF(OFFSET(CRONOPLE!$F$14,$M165,AN$13)="",10^12,OFFSET(CRONOPLE!$F$14,$M165,AN$13))))</f>
        <v>1</v>
      </c>
      <c r="AO165" s="216">
        <f ca="1">IF($D165&lt;&gt;"Serviço",0,IF(AND(AUTOEVENTO="Manual",$M165=1),0,IF(OFFSET(CRONOPLE!$F$14,$M165,AO$13)="",10^12,OFFSET(CRONOPLE!$F$14,$M165,AO$13))))</f>
        <v>1</v>
      </c>
      <c r="AP165" s="216">
        <f ca="1">IF($D165&lt;&gt;"Serviço",0,IF(AND(AUTOEVENTO="Manual",$M165=1),0,IF(OFFSET(CRONOPLE!$F$14,$M165,AP$13)="",10^12,OFFSET(CRONOPLE!$F$14,$M165,AP$13))))</f>
        <v>1</v>
      </c>
      <c r="AQ165" s="216">
        <f ca="1">IF($D165&lt;&gt;"Serviço",0,IF(AND(AUTOEVENTO="Manual",$M165=1),0,IF(OFFSET(CRONOPLE!$F$14,$M165,AQ$13)="",10^12,OFFSET(CRONOPLE!$F$14,$M165,AQ$13))))</f>
        <v>2</v>
      </c>
      <c r="AR165" s="216">
        <f ca="1">IF($D165&lt;&gt;"Serviço",0,IF(AND(AUTOEVENTO="Manual",$M165=1),0,IF(OFFSET(CRONOPLE!$F$14,$M165,AR$13)="",10^12,OFFSET(CRONOPLE!$F$14,$M165,AR$13))))</f>
        <v>2</v>
      </c>
      <c r="AS165" s="216">
        <f ca="1">IF($D165&lt;&gt;"Serviço",0,IF(AND(AUTOEVENTO="Manual",$M165=1),0,IF(OFFSET(CRONOPLE!$F$14,$M165,AS$13)="",10^12,OFFSET(CRONOPLE!$F$14,$M165,AS$13))))</f>
        <v>2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hidden="1" x14ac:dyDescent="0.2">
      <c r="A166" s="9" t="str">
        <f t="shared" ca="1" si="18"/>
        <v>36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6</v>
      </c>
      <c r="N166" s="212" t="str">
        <f ca="1">IF($D166&lt;&gt;"Serviço","",IF(AUTOEVENTO="Manual",IF($A166=0,"&lt;-- defina o número do agrupador",OFFSET(EVENTOS!$D$14,$A166,0)),OFFSET($F$15,$A166,0)))</f>
        <v>ENSAIOS TECNOLÓGICOS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</v>
      </c>
      <c r="AN166" s="216">
        <f ca="1">IF($D166&lt;&gt;"Serviço",0,IF(AND(AUTOEVENTO="Manual",$M166=1),0,IF(OFFSET(CRONOPLE!$F$14,$M166,AN$13)="",10^12,OFFSET(CRONOPLE!$F$14,$M166,AN$13))))</f>
        <v>1</v>
      </c>
      <c r="AO166" s="216">
        <f ca="1">IF($D166&lt;&gt;"Serviço",0,IF(AND(AUTOEVENTO="Manual",$M166=1),0,IF(OFFSET(CRONOPLE!$F$14,$M166,AO$13)="",10^12,OFFSET(CRONOPLE!$F$14,$M166,AO$13))))</f>
        <v>1</v>
      </c>
      <c r="AP166" s="216">
        <f ca="1">IF($D166&lt;&gt;"Serviço",0,IF(AND(AUTOEVENTO="Manual",$M166=1),0,IF(OFFSET(CRONOPLE!$F$14,$M166,AP$13)="",10^12,OFFSET(CRONOPLE!$F$14,$M166,AP$13))))</f>
        <v>1</v>
      </c>
      <c r="AQ166" s="216">
        <f ca="1">IF($D166&lt;&gt;"Serviço",0,IF(AND(AUTOEVENTO="Manual",$M166=1),0,IF(OFFSET(CRONOPLE!$F$14,$M166,AQ$13)="",10^12,OFFSET(CRONOPLE!$F$14,$M166,AQ$13))))</f>
        <v>2</v>
      </c>
      <c r="AR166" s="216">
        <f ca="1">IF($D166&lt;&gt;"Serviço",0,IF(AND(AUTOEVENTO="Manual",$M166=1),0,IF(OFFSET(CRONOPLE!$F$14,$M166,AR$13)="",10^12,OFFSET(CRONOPLE!$F$14,$M166,AR$13))))</f>
        <v>2</v>
      </c>
      <c r="AS166" s="216">
        <f ca="1">IF($D166&lt;&gt;"Serviço",0,IF(AND(AUTOEVENTO="Manual",$M166=1),0,IF(OFFSET(CRONOPLE!$F$14,$M166,AS$13)="",10^12,OFFSET(CRONOPLE!$F$14,$M166,AS$13))))</f>
        <v>2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hidden="1" x14ac:dyDescent="0.2">
      <c r="A167" s="9" t="str">
        <f t="shared" ca="1" si="18"/>
        <v>36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6</v>
      </c>
      <c r="N167" s="212" t="str">
        <f ca="1">IF($D167&lt;&gt;"Serviço","",IF(AUTOEVENTO="Manual",IF($A167=0,"&lt;-- defina o número do agrupador",OFFSET(EVENTOS!$D$14,$A167,0)),OFFSET($F$15,$A167,0)))</f>
        <v>ENSAIOS TECNOLÓGICOS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</v>
      </c>
      <c r="AN167" s="216">
        <f ca="1">IF($D167&lt;&gt;"Serviço",0,IF(AND(AUTOEVENTO="Manual",$M167=1),0,IF(OFFSET(CRONOPLE!$F$14,$M167,AN$13)="",10^12,OFFSET(CRONOPLE!$F$14,$M167,AN$13))))</f>
        <v>1</v>
      </c>
      <c r="AO167" s="216">
        <f ca="1">IF($D167&lt;&gt;"Serviço",0,IF(AND(AUTOEVENTO="Manual",$M167=1),0,IF(OFFSET(CRONOPLE!$F$14,$M167,AO$13)="",10^12,OFFSET(CRONOPLE!$F$14,$M167,AO$13))))</f>
        <v>1</v>
      </c>
      <c r="AP167" s="216">
        <f ca="1">IF($D167&lt;&gt;"Serviço",0,IF(AND(AUTOEVENTO="Manual",$M167=1),0,IF(OFFSET(CRONOPLE!$F$14,$M167,AP$13)="",10^12,OFFSET(CRONOPLE!$F$14,$M167,AP$13))))</f>
        <v>1</v>
      </c>
      <c r="AQ167" s="216">
        <f ca="1">IF($D167&lt;&gt;"Serviço",0,IF(AND(AUTOEVENTO="Manual",$M167=1),0,IF(OFFSET(CRONOPLE!$F$14,$M167,AQ$13)="",10^12,OFFSET(CRONOPLE!$F$14,$M167,AQ$13))))</f>
        <v>2</v>
      </c>
      <c r="AR167" s="216">
        <f ca="1">IF($D167&lt;&gt;"Serviço",0,IF(AND(AUTOEVENTO="Manual",$M167=1),0,IF(OFFSET(CRONOPLE!$F$14,$M167,AR$13)="",10^12,OFFSET(CRONOPLE!$F$14,$M167,AR$13))))</f>
        <v>2</v>
      </c>
      <c r="AS167" s="216">
        <f ca="1">IF($D167&lt;&gt;"Serviço",0,IF(AND(AUTOEVENTO="Manual",$M167=1),0,IF(OFFSET(CRONOPLE!$F$14,$M167,AS$13)="",10^12,OFFSET(CRONOPLE!$F$14,$M167,AS$13))))</f>
        <v>2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hidden="1" x14ac:dyDescent="0.2">
      <c r="A168" s="9" t="str">
        <f t="shared" ca="1" si="18"/>
        <v>36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6</v>
      </c>
      <c r="N168" s="212" t="str">
        <f ca="1">IF($D168&lt;&gt;"Serviço","",IF(AUTOEVENTO="Manual",IF($A168=0,"&lt;-- defina o número do agrupador",OFFSET(EVENTOS!$D$14,$A168,0)),OFFSET($F$15,$A168,0)))</f>
        <v>ENSAIOS TECNOLÓGICOS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</v>
      </c>
      <c r="AN168" s="216">
        <f ca="1">IF($D168&lt;&gt;"Serviço",0,IF(AND(AUTOEVENTO="Manual",$M168=1),0,IF(OFFSET(CRONOPLE!$F$14,$M168,AN$13)="",10^12,OFFSET(CRONOPLE!$F$14,$M168,AN$13))))</f>
        <v>1</v>
      </c>
      <c r="AO168" s="216">
        <f ca="1">IF($D168&lt;&gt;"Serviço",0,IF(AND(AUTOEVENTO="Manual",$M168=1),0,IF(OFFSET(CRONOPLE!$F$14,$M168,AO$13)="",10^12,OFFSET(CRONOPLE!$F$14,$M168,AO$13))))</f>
        <v>1</v>
      </c>
      <c r="AP168" s="216">
        <f ca="1">IF($D168&lt;&gt;"Serviço",0,IF(AND(AUTOEVENTO="Manual",$M168=1),0,IF(OFFSET(CRONOPLE!$F$14,$M168,AP$13)="",10^12,OFFSET(CRONOPLE!$F$14,$M168,AP$13))))</f>
        <v>1</v>
      </c>
      <c r="AQ168" s="216">
        <f ca="1">IF($D168&lt;&gt;"Serviço",0,IF(AND(AUTOEVENTO="Manual",$M168=1),0,IF(OFFSET(CRONOPLE!$F$14,$M168,AQ$13)="",10^12,OFFSET(CRONOPLE!$F$14,$M168,AQ$13))))</f>
        <v>2</v>
      </c>
      <c r="AR168" s="216">
        <f ca="1">IF($D168&lt;&gt;"Serviço",0,IF(AND(AUTOEVENTO="Manual",$M168=1),0,IF(OFFSET(CRONOPLE!$F$14,$M168,AR$13)="",10^12,OFFSET(CRONOPLE!$F$14,$M168,AR$13))))</f>
        <v>2</v>
      </c>
      <c r="AS168" s="216">
        <f ca="1">IF($D168&lt;&gt;"Serviço",0,IF(AND(AUTOEVENTO="Manual",$M168=1),0,IF(OFFSET(CRONOPLE!$F$14,$M168,AS$13)="",10^12,OFFSET(CRONOPLE!$F$14,$M168,AS$13))))</f>
        <v>2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hidden="1" x14ac:dyDescent="0.2">
      <c r="A169" s="9" t="str">
        <f t="shared" ca="1" si="18"/>
        <v>36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6</v>
      </c>
      <c r="N169" s="212" t="str">
        <f ca="1">IF($D169&lt;&gt;"Serviço","",IF(AUTOEVENTO="Manual",IF($A169=0,"&lt;-- defina o número do agrupador",OFFSET(EVENTOS!$D$14,$A169,0)),OFFSET($F$15,$A169,0)))</f>
        <v>ENSAIOS TECNOLÓGICOS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</v>
      </c>
      <c r="AN169" s="216">
        <f ca="1">IF($D169&lt;&gt;"Serviço",0,IF(AND(AUTOEVENTO="Manual",$M169=1),0,IF(OFFSET(CRONOPLE!$F$14,$M169,AN$13)="",10^12,OFFSET(CRONOPLE!$F$14,$M169,AN$13))))</f>
        <v>1</v>
      </c>
      <c r="AO169" s="216">
        <f ca="1">IF($D169&lt;&gt;"Serviço",0,IF(AND(AUTOEVENTO="Manual",$M169=1),0,IF(OFFSET(CRONOPLE!$F$14,$M169,AO$13)="",10^12,OFFSET(CRONOPLE!$F$14,$M169,AO$13))))</f>
        <v>1</v>
      </c>
      <c r="AP169" s="216">
        <f ca="1">IF($D169&lt;&gt;"Serviço",0,IF(AND(AUTOEVENTO="Manual",$M169=1),0,IF(OFFSET(CRONOPLE!$F$14,$M169,AP$13)="",10^12,OFFSET(CRONOPLE!$F$14,$M169,AP$13))))</f>
        <v>1</v>
      </c>
      <c r="AQ169" s="216">
        <f ca="1">IF($D169&lt;&gt;"Serviço",0,IF(AND(AUTOEVENTO="Manual",$M169=1),0,IF(OFFSET(CRONOPLE!$F$14,$M169,AQ$13)="",10^12,OFFSET(CRONOPLE!$F$14,$M169,AQ$13))))</f>
        <v>2</v>
      </c>
      <c r="AR169" s="216">
        <f ca="1">IF($D169&lt;&gt;"Serviço",0,IF(AND(AUTOEVENTO="Manual",$M169=1),0,IF(OFFSET(CRONOPLE!$F$14,$M169,AR$13)="",10^12,OFFSET(CRONOPLE!$F$14,$M169,AR$13))))</f>
        <v>2</v>
      </c>
      <c r="AS169" s="216">
        <f ca="1">IF($D169&lt;&gt;"Serviço",0,IF(AND(AUTOEVENTO="Manual",$M169=1),0,IF(OFFSET(CRONOPLE!$F$14,$M169,AS$13)="",10^12,OFFSET(CRONOPLE!$F$14,$M169,AS$13))))</f>
        <v>2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hidden="1" x14ac:dyDescent="0.2">
      <c r="A170" s="9" t="str">
        <f t="shared" ca="1" si="18"/>
        <v>36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6</v>
      </c>
      <c r="N170" s="212" t="str">
        <f ca="1">IF($D170&lt;&gt;"Serviço","",IF(AUTOEVENTO="Manual",IF($A170=0,"&lt;-- defina o número do agrupador",OFFSET(EVENTOS!$D$14,$A170,0)),OFFSET($F$15,$A170,0)))</f>
        <v>ENSAIOS TECNOLÓGICOS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</v>
      </c>
      <c r="AN170" s="216">
        <f ca="1">IF($D170&lt;&gt;"Serviço",0,IF(AND(AUTOEVENTO="Manual",$M170=1),0,IF(OFFSET(CRONOPLE!$F$14,$M170,AN$13)="",10^12,OFFSET(CRONOPLE!$F$14,$M170,AN$13))))</f>
        <v>1</v>
      </c>
      <c r="AO170" s="216">
        <f ca="1">IF($D170&lt;&gt;"Serviço",0,IF(AND(AUTOEVENTO="Manual",$M170=1),0,IF(OFFSET(CRONOPLE!$F$14,$M170,AO$13)="",10^12,OFFSET(CRONOPLE!$F$14,$M170,AO$13))))</f>
        <v>1</v>
      </c>
      <c r="AP170" s="216">
        <f ca="1">IF($D170&lt;&gt;"Serviço",0,IF(AND(AUTOEVENTO="Manual",$M170=1),0,IF(OFFSET(CRONOPLE!$F$14,$M170,AP$13)="",10^12,OFFSET(CRONOPLE!$F$14,$M170,AP$13))))</f>
        <v>1</v>
      </c>
      <c r="AQ170" s="216">
        <f ca="1">IF($D170&lt;&gt;"Serviço",0,IF(AND(AUTOEVENTO="Manual",$M170=1),0,IF(OFFSET(CRONOPLE!$F$14,$M170,AQ$13)="",10^12,OFFSET(CRONOPLE!$F$14,$M170,AQ$13))))</f>
        <v>2</v>
      </c>
      <c r="AR170" s="216">
        <f ca="1">IF($D170&lt;&gt;"Serviço",0,IF(AND(AUTOEVENTO="Manual",$M170=1),0,IF(OFFSET(CRONOPLE!$F$14,$M170,AR$13)="",10^12,OFFSET(CRONOPLE!$F$14,$M170,AR$13))))</f>
        <v>2</v>
      </c>
      <c r="AS170" s="216">
        <f ca="1">IF($D170&lt;&gt;"Serviço",0,IF(AND(AUTOEVENTO="Manual",$M170=1),0,IF(OFFSET(CRONOPLE!$F$14,$M170,AS$13)="",10^12,OFFSET(CRONOPLE!$F$14,$M170,AS$13))))</f>
        <v>2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hidden="1" x14ac:dyDescent="0.2">
      <c r="A171" s="9" t="str">
        <f t="shared" ca="1" si="18"/>
        <v>36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6</v>
      </c>
      <c r="N171" s="212" t="str">
        <f ca="1">IF($D171&lt;&gt;"Serviço","",IF(AUTOEVENTO="Manual",IF($A171=0,"&lt;-- defina o número do agrupador",OFFSET(EVENTOS!$D$14,$A171,0)),OFFSET($F$15,$A171,0)))</f>
        <v>ENSAIOS TECNOLÓGICOS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</v>
      </c>
      <c r="AN171" s="216">
        <f ca="1">IF($D171&lt;&gt;"Serviço",0,IF(AND(AUTOEVENTO="Manual",$M171=1),0,IF(OFFSET(CRONOPLE!$F$14,$M171,AN$13)="",10^12,OFFSET(CRONOPLE!$F$14,$M171,AN$13))))</f>
        <v>1</v>
      </c>
      <c r="AO171" s="216">
        <f ca="1">IF($D171&lt;&gt;"Serviço",0,IF(AND(AUTOEVENTO="Manual",$M171=1),0,IF(OFFSET(CRONOPLE!$F$14,$M171,AO$13)="",10^12,OFFSET(CRONOPLE!$F$14,$M171,AO$13))))</f>
        <v>1</v>
      </c>
      <c r="AP171" s="216">
        <f ca="1">IF($D171&lt;&gt;"Serviço",0,IF(AND(AUTOEVENTO="Manual",$M171=1),0,IF(OFFSET(CRONOPLE!$F$14,$M171,AP$13)="",10^12,OFFSET(CRONOPLE!$F$14,$M171,AP$13))))</f>
        <v>1</v>
      </c>
      <c r="AQ171" s="216">
        <f ca="1">IF($D171&lt;&gt;"Serviço",0,IF(AND(AUTOEVENTO="Manual",$M171=1),0,IF(OFFSET(CRONOPLE!$F$14,$M171,AQ$13)="",10^12,OFFSET(CRONOPLE!$F$14,$M171,AQ$13))))</f>
        <v>2</v>
      </c>
      <c r="AR171" s="216">
        <f ca="1">IF($D171&lt;&gt;"Serviço",0,IF(AND(AUTOEVENTO="Manual",$M171=1),0,IF(OFFSET(CRONOPLE!$F$14,$M171,AR$13)="",10^12,OFFSET(CRONOPLE!$F$14,$M171,AR$13))))</f>
        <v>2</v>
      </c>
      <c r="AS171" s="216">
        <f ca="1">IF($D171&lt;&gt;"Serviço",0,IF(AND(AUTOEVENTO="Manual",$M171=1),0,IF(OFFSET(CRONOPLE!$F$14,$M171,AS$13)="",10^12,OFFSET(CRONOPLE!$F$14,$M171,AS$13))))</f>
        <v>2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hidden="1" x14ac:dyDescent="0.2">
      <c r="A172" s="9" t="str">
        <f t="shared" ca="1" si="18"/>
        <v>36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6</v>
      </c>
      <c r="N172" s="212" t="str">
        <f ca="1">IF($D172&lt;&gt;"Serviço","",IF(AUTOEVENTO="Manual",IF($A172=0,"&lt;-- defina o número do agrupador",OFFSET(EVENTOS!$D$14,$A172,0)),OFFSET($F$15,$A172,0)))</f>
        <v>ENSAIOS TECNOLÓGICOS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</v>
      </c>
      <c r="AN172" s="216">
        <f ca="1">IF($D172&lt;&gt;"Serviço",0,IF(AND(AUTOEVENTO="Manual",$M172=1),0,IF(OFFSET(CRONOPLE!$F$14,$M172,AN$13)="",10^12,OFFSET(CRONOPLE!$F$14,$M172,AN$13))))</f>
        <v>1</v>
      </c>
      <c r="AO172" s="216">
        <f ca="1">IF($D172&lt;&gt;"Serviço",0,IF(AND(AUTOEVENTO="Manual",$M172=1),0,IF(OFFSET(CRONOPLE!$F$14,$M172,AO$13)="",10^12,OFFSET(CRONOPLE!$F$14,$M172,AO$13))))</f>
        <v>1</v>
      </c>
      <c r="AP172" s="216">
        <f ca="1">IF($D172&lt;&gt;"Serviço",0,IF(AND(AUTOEVENTO="Manual",$M172=1),0,IF(OFFSET(CRONOPLE!$F$14,$M172,AP$13)="",10^12,OFFSET(CRONOPLE!$F$14,$M172,AP$13))))</f>
        <v>1</v>
      </c>
      <c r="AQ172" s="216">
        <f ca="1">IF($D172&lt;&gt;"Serviço",0,IF(AND(AUTOEVENTO="Manual",$M172=1),0,IF(OFFSET(CRONOPLE!$F$14,$M172,AQ$13)="",10^12,OFFSET(CRONOPLE!$F$14,$M172,AQ$13))))</f>
        <v>2</v>
      </c>
      <c r="AR172" s="216">
        <f ca="1">IF($D172&lt;&gt;"Serviço",0,IF(AND(AUTOEVENTO="Manual",$M172=1),0,IF(OFFSET(CRONOPLE!$F$14,$M172,AR$13)="",10^12,OFFSET(CRONOPLE!$F$14,$M172,AR$13))))</f>
        <v>2</v>
      </c>
      <c r="AS172" s="216">
        <f ca="1">IF($D172&lt;&gt;"Serviço",0,IF(AND(AUTOEVENTO="Manual",$M172=1),0,IF(OFFSET(CRONOPLE!$F$14,$M172,AS$13)="",10^12,OFFSET(CRONOPLE!$F$14,$M172,AS$13))))</f>
        <v>2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hidden="1" x14ac:dyDescent="0.2">
      <c r="A173" s="9" t="str">
        <f t="shared" ca="1" si="18"/>
        <v>36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6</v>
      </c>
      <c r="N173" s="212" t="str">
        <f ca="1">IF($D173&lt;&gt;"Serviço","",IF(AUTOEVENTO="Manual",IF($A173=0,"&lt;-- defina o número do agrupador",OFFSET(EVENTOS!$D$14,$A173,0)),OFFSET($F$15,$A173,0)))</f>
        <v>ENSAIOS TECNOLÓGICOS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</v>
      </c>
      <c r="AN173" s="216">
        <f ca="1">IF($D173&lt;&gt;"Serviço",0,IF(AND(AUTOEVENTO="Manual",$M173=1),0,IF(OFFSET(CRONOPLE!$F$14,$M173,AN$13)="",10^12,OFFSET(CRONOPLE!$F$14,$M173,AN$13))))</f>
        <v>1</v>
      </c>
      <c r="AO173" s="216">
        <f ca="1">IF($D173&lt;&gt;"Serviço",0,IF(AND(AUTOEVENTO="Manual",$M173=1),0,IF(OFFSET(CRONOPLE!$F$14,$M173,AO$13)="",10^12,OFFSET(CRONOPLE!$F$14,$M173,AO$13))))</f>
        <v>1</v>
      </c>
      <c r="AP173" s="216">
        <f ca="1">IF($D173&lt;&gt;"Serviço",0,IF(AND(AUTOEVENTO="Manual",$M173=1),0,IF(OFFSET(CRONOPLE!$F$14,$M173,AP$13)="",10^12,OFFSET(CRONOPLE!$F$14,$M173,AP$13))))</f>
        <v>1</v>
      </c>
      <c r="AQ173" s="216">
        <f ca="1">IF($D173&lt;&gt;"Serviço",0,IF(AND(AUTOEVENTO="Manual",$M173=1),0,IF(OFFSET(CRONOPLE!$F$14,$M173,AQ$13)="",10^12,OFFSET(CRONOPLE!$F$14,$M173,AQ$13))))</f>
        <v>2</v>
      </c>
      <c r="AR173" s="216">
        <f ca="1">IF($D173&lt;&gt;"Serviço",0,IF(AND(AUTOEVENTO="Manual",$M173=1),0,IF(OFFSET(CRONOPLE!$F$14,$M173,AR$13)="",10^12,OFFSET(CRONOPLE!$F$14,$M173,AR$13))))</f>
        <v>2</v>
      </c>
      <c r="AS173" s="216">
        <f ca="1">IF($D173&lt;&gt;"Serviço",0,IF(AND(AUTOEVENTO="Manual",$M173=1),0,IF(OFFSET(CRONOPLE!$F$14,$M173,AS$13)="",10^12,OFFSET(CRONOPLE!$F$14,$M173,AS$13))))</f>
        <v>2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hidden="1" x14ac:dyDescent="0.2">
      <c r="A174" s="9" t="str">
        <f t="shared" ca="1" si="18"/>
        <v>36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6</v>
      </c>
      <c r="N174" s="212" t="str">
        <f ca="1">IF($D174&lt;&gt;"Serviço","",IF(AUTOEVENTO="Manual",IF($A174=0,"&lt;-- defina o número do agrupador",OFFSET(EVENTOS!$D$14,$A174,0)),OFFSET($F$15,$A174,0)))</f>
        <v>ENSAIOS TECNOLÓGICOS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</v>
      </c>
      <c r="AN174" s="216">
        <f ca="1">IF($D174&lt;&gt;"Serviço",0,IF(AND(AUTOEVENTO="Manual",$M174=1),0,IF(OFFSET(CRONOPLE!$F$14,$M174,AN$13)="",10^12,OFFSET(CRONOPLE!$F$14,$M174,AN$13))))</f>
        <v>1</v>
      </c>
      <c r="AO174" s="216">
        <f ca="1">IF($D174&lt;&gt;"Serviço",0,IF(AND(AUTOEVENTO="Manual",$M174=1),0,IF(OFFSET(CRONOPLE!$F$14,$M174,AO$13)="",10^12,OFFSET(CRONOPLE!$F$14,$M174,AO$13))))</f>
        <v>1</v>
      </c>
      <c r="AP174" s="216">
        <f ca="1">IF($D174&lt;&gt;"Serviço",0,IF(AND(AUTOEVENTO="Manual",$M174=1),0,IF(OFFSET(CRONOPLE!$F$14,$M174,AP$13)="",10^12,OFFSET(CRONOPLE!$F$14,$M174,AP$13))))</f>
        <v>1</v>
      </c>
      <c r="AQ174" s="216">
        <f ca="1">IF($D174&lt;&gt;"Serviço",0,IF(AND(AUTOEVENTO="Manual",$M174=1),0,IF(OFFSET(CRONOPLE!$F$14,$M174,AQ$13)="",10^12,OFFSET(CRONOPLE!$F$14,$M174,AQ$13))))</f>
        <v>2</v>
      </c>
      <c r="AR174" s="216">
        <f ca="1">IF($D174&lt;&gt;"Serviço",0,IF(AND(AUTOEVENTO="Manual",$M174=1),0,IF(OFFSET(CRONOPLE!$F$14,$M174,AR$13)="",10^12,OFFSET(CRONOPLE!$F$14,$M174,AR$13))))</f>
        <v>2</v>
      </c>
      <c r="AS174" s="216">
        <f ca="1">IF($D174&lt;&gt;"Serviço",0,IF(AND(AUTOEVENTO="Manual",$M174=1),0,IF(OFFSET(CRONOPLE!$F$14,$M174,AS$13)="",10^12,OFFSET(CRONOPLE!$F$14,$M174,AS$13))))</f>
        <v>2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hidden="1" x14ac:dyDescent="0.2">
      <c r="A175" s="9" t="str">
        <f t="shared" ca="1" si="18"/>
        <v>36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6</v>
      </c>
      <c r="N175" s="212" t="str">
        <f ca="1">IF($D175&lt;&gt;"Serviço","",IF(AUTOEVENTO="Manual",IF($A175=0,"&lt;-- defina o número do agrupador",OFFSET(EVENTOS!$D$14,$A175,0)),OFFSET($F$15,$A175,0)))</f>
        <v>ENSAIOS TECNOLÓGICOS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</v>
      </c>
      <c r="AN175" s="216">
        <f ca="1">IF($D175&lt;&gt;"Serviço",0,IF(AND(AUTOEVENTO="Manual",$M175=1),0,IF(OFFSET(CRONOPLE!$F$14,$M175,AN$13)="",10^12,OFFSET(CRONOPLE!$F$14,$M175,AN$13))))</f>
        <v>1</v>
      </c>
      <c r="AO175" s="216">
        <f ca="1">IF($D175&lt;&gt;"Serviço",0,IF(AND(AUTOEVENTO="Manual",$M175=1),0,IF(OFFSET(CRONOPLE!$F$14,$M175,AO$13)="",10^12,OFFSET(CRONOPLE!$F$14,$M175,AO$13))))</f>
        <v>1</v>
      </c>
      <c r="AP175" s="216">
        <f ca="1">IF($D175&lt;&gt;"Serviço",0,IF(AND(AUTOEVENTO="Manual",$M175=1),0,IF(OFFSET(CRONOPLE!$F$14,$M175,AP$13)="",10^12,OFFSET(CRONOPLE!$F$14,$M175,AP$13))))</f>
        <v>1</v>
      </c>
      <c r="AQ175" s="216">
        <f ca="1">IF($D175&lt;&gt;"Serviço",0,IF(AND(AUTOEVENTO="Manual",$M175=1),0,IF(OFFSET(CRONOPLE!$F$14,$M175,AQ$13)="",10^12,OFFSET(CRONOPLE!$F$14,$M175,AQ$13))))</f>
        <v>2</v>
      </c>
      <c r="AR175" s="216">
        <f ca="1">IF($D175&lt;&gt;"Serviço",0,IF(AND(AUTOEVENTO="Manual",$M175=1),0,IF(OFFSET(CRONOPLE!$F$14,$M175,AR$13)="",10^12,OFFSET(CRONOPLE!$F$14,$M175,AR$13))))</f>
        <v>2</v>
      </c>
      <c r="AS175" s="216">
        <f ca="1">IF($D175&lt;&gt;"Serviço",0,IF(AND(AUTOEVENTO="Manual",$M175=1),0,IF(OFFSET(CRONOPLE!$F$14,$M175,AS$13)="",10^12,OFFSET(CRONOPLE!$F$14,$M175,AS$13))))</f>
        <v>2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hidden="1" x14ac:dyDescent="0.2">
      <c r="A176" s="9" t="str">
        <f t="shared" ca="1" si="18"/>
        <v>36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6</v>
      </c>
      <c r="N176" s="212" t="str">
        <f ca="1">IF($D176&lt;&gt;"Serviço","",IF(AUTOEVENTO="Manual",IF($A176=0,"&lt;-- defina o número do agrupador",OFFSET(EVENTOS!$D$14,$A176,0)),OFFSET($F$15,$A176,0)))</f>
        <v>ENSAIOS TECNOLÓGICOS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</v>
      </c>
      <c r="AN176" s="216">
        <f ca="1">IF($D176&lt;&gt;"Serviço",0,IF(AND(AUTOEVENTO="Manual",$M176=1),0,IF(OFFSET(CRONOPLE!$F$14,$M176,AN$13)="",10^12,OFFSET(CRONOPLE!$F$14,$M176,AN$13))))</f>
        <v>1</v>
      </c>
      <c r="AO176" s="216">
        <f ca="1">IF($D176&lt;&gt;"Serviço",0,IF(AND(AUTOEVENTO="Manual",$M176=1),0,IF(OFFSET(CRONOPLE!$F$14,$M176,AO$13)="",10^12,OFFSET(CRONOPLE!$F$14,$M176,AO$13))))</f>
        <v>1</v>
      </c>
      <c r="AP176" s="216">
        <f ca="1">IF($D176&lt;&gt;"Serviço",0,IF(AND(AUTOEVENTO="Manual",$M176=1),0,IF(OFFSET(CRONOPLE!$F$14,$M176,AP$13)="",10^12,OFFSET(CRONOPLE!$F$14,$M176,AP$13))))</f>
        <v>1</v>
      </c>
      <c r="AQ176" s="216">
        <f ca="1">IF($D176&lt;&gt;"Serviço",0,IF(AND(AUTOEVENTO="Manual",$M176=1),0,IF(OFFSET(CRONOPLE!$F$14,$M176,AQ$13)="",10^12,OFFSET(CRONOPLE!$F$14,$M176,AQ$13))))</f>
        <v>2</v>
      </c>
      <c r="AR176" s="216">
        <f ca="1">IF($D176&lt;&gt;"Serviço",0,IF(AND(AUTOEVENTO="Manual",$M176=1),0,IF(OFFSET(CRONOPLE!$F$14,$M176,AR$13)="",10^12,OFFSET(CRONOPLE!$F$14,$M176,AR$13))))</f>
        <v>2</v>
      </c>
      <c r="AS176" s="216">
        <f ca="1">IF($D176&lt;&gt;"Serviço",0,IF(AND(AUTOEVENTO="Manual",$M176=1),0,IF(OFFSET(CRONOPLE!$F$14,$M176,AS$13)="",10^12,OFFSET(CRONOPLE!$F$14,$M176,AS$13))))</f>
        <v>2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hidden="1" x14ac:dyDescent="0.2">
      <c r="A177" s="9" t="str">
        <f t="shared" ca="1" si="18"/>
        <v>36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6</v>
      </c>
      <c r="N177" s="212" t="str">
        <f ca="1">IF($D177&lt;&gt;"Serviço","",IF(AUTOEVENTO="Manual",IF($A177=0,"&lt;-- defina o número do agrupador",OFFSET(EVENTOS!$D$14,$A177,0)),OFFSET($F$15,$A177,0)))</f>
        <v>ENSAIOS TECNOLÓGICOS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</v>
      </c>
      <c r="AN177" s="216">
        <f ca="1">IF($D177&lt;&gt;"Serviço",0,IF(AND(AUTOEVENTO="Manual",$M177=1),0,IF(OFFSET(CRONOPLE!$F$14,$M177,AN$13)="",10^12,OFFSET(CRONOPLE!$F$14,$M177,AN$13))))</f>
        <v>1</v>
      </c>
      <c r="AO177" s="216">
        <f ca="1">IF($D177&lt;&gt;"Serviço",0,IF(AND(AUTOEVENTO="Manual",$M177=1),0,IF(OFFSET(CRONOPLE!$F$14,$M177,AO$13)="",10^12,OFFSET(CRONOPLE!$F$14,$M177,AO$13))))</f>
        <v>1</v>
      </c>
      <c r="AP177" s="216">
        <f ca="1">IF($D177&lt;&gt;"Serviço",0,IF(AND(AUTOEVENTO="Manual",$M177=1),0,IF(OFFSET(CRONOPLE!$F$14,$M177,AP$13)="",10^12,OFFSET(CRONOPLE!$F$14,$M177,AP$13))))</f>
        <v>1</v>
      </c>
      <c r="AQ177" s="216">
        <f ca="1">IF($D177&lt;&gt;"Serviço",0,IF(AND(AUTOEVENTO="Manual",$M177=1),0,IF(OFFSET(CRONOPLE!$F$14,$M177,AQ$13)="",10^12,OFFSET(CRONOPLE!$F$14,$M177,AQ$13))))</f>
        <v>2</v>
      </c>
      <c r="AR177" s="216">
        <f ca="1">IF($D177&lt;&gt;"Serviço",0,IF(AND(AUTOEVENTO="Manual",$M177=1),0,IF(OFFSET(CRONOPLE!$F$14,$M177,AR$13)="",10^12,OFFSET(CRONOPLE!$F$14,$M177,AR$13))))</f>
        <v>2</v>
      </c>
      <c r="AS177" s="216">
        <f ca="1">IF($D177&lt;&gt;"Serviço",0,IF(AND(AUTOEVENTO="Manual",$M177=1),0,IF(OFFSET(CRONOPLE!$F$14,$M177,AS$13)="",10^12,OFFSET(CRONOPLE!$F$14,$M177,AS$13))))</f>
        <v>2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hidden="1" x14ac:dyDescent="0.2">
      <c r="A178" s="9" t="str">
        <f t="shared" ca="1" si="18"/>
        <v>36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6</v>
      </c>
      <c r="N178" s="212" t="str">
        <f ca="1">IF($D178&lt;&gt;"Serviço","",IF(AUTOEVENTO="Manual",IF($A178=0,"&lt;-- defina o número do agrupador",OFFSET(EVENTOS!$D$14,$A178,0)),OFFSET($F$15,$A178,0)))</f>
        <v>ENSAIOS TECNOLÓGICOS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</v>
      </c>
      <c r="AN178" s="216">
        <f ca="1">IF($D178&lt;&gt;"Serviço",0,IF(AND(AUTOEVENTO="Manual",$M178=1),0,IF(OFFSET(CRONOPLE!$F$14,$M178,AN$13)="",10^12,OFFSET(CRONOPLE!$F$14,$M178,AN$13))))</f>
        <v>1</v>
      </c>
      <c r="AO178" s="216">
        <f ca="1">IF($D178&lt;&gt;"Serviço",0,IF(AND(AUTOEVENTO="Manual",$M178=1),0,IF(OFFSET(CRONOPLE!$F$14,$M178,AO$13)="",10^12,OFFSET(CRONOPLE!$F$14,$M178,AO$13))))</f>
        <v>1</v>
      </c>
      <c r="AP178" s="216">
        <f ca="1">IF($D178&lt;&gt;"Serviço",0,IF(AND(AUTOEVENTO="Manual",$M178=1),0,IF(OFFSET(CRONOPLE!$F$14,$M178,AP$13)="",10^12,OFFSET(CRONOPLE!$F$14,$M178,AP$13))))</f>
        <v>1</v>
      </c>
      <c r="AQ178" s="216">
        <f ca="1">IF($D178&lt;&gt;"Serviço",0,IF(AND(AUTOEVENTO="Manual",$M178=1),0,IF(OFFSET(CRONOPLE!$F$14,$M178,AQ$13)="",10^12,OFFSET(CRONOPLE!$F$14,$M178,AQ$13))))</f>
        <v>2</v>
      </c>
      <c r="AR178" s="216">
        <f ca="1">IF($D178&lt;&gt;"Serviço",0,IF(AND(AUTOEVENTO="Manual",$M178=1),0,IF(OFFSET(CRONOPLE!$F$14,$M178,AR$13)="",10^12,OFFSET(CRONOPLE!$F$14,$M178,AR$13))))</f>
        <v>2</v>
      </c>
      <c r="AS178" s="216">
        <f ca="1">IF($D178&lt;&gt;"Serviço",0,IF(AND(AUTOEVENTO="Manual",$M178=1),0,IF(OFFSET(CRONOPLE!$F$14,$M178,AS$13)="",10^12,OFFSET(CRONOPLE!$F$14,$M178,AS$13))))</f>
        <v>2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hidden="1" x14ac:dyDescent="0.2">
      <c r="A179" s="9" t="str">
        <f t="shared" ca="1" si="18"/>
        <v>36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6</v>
      </c>
      <c r="N179" s="212" t="str">
        <f ca="1">IF($D179&lt;&gt;"Serviço","",IF(AUTOEVENTO="Manual",IF($A179=0,"&lt;-- defina o número do agrupador",OFFSET(EVENTOS!$D$14,$A179,0)),OFFSET($F$15,$A179,0)))</f>
        <v>ENSAIOS TECNOLÓGICOS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</v>
      </c>
      <c r="AN179" s="216">
        <f ca="1">IF($D179&lt;&gt;"Serviço",0,IF(AND(AUTOEVENTO="Manual",$M179=1),0,IF(OFFSET(CRONOPLE!$F$14,$M179,AN$13)="",10^12,OFFSET(CRONOPLE!$F$14,$M179,AN$13))))</f>
        <v>1</v>
      </c>
      <c r="AO179" s="216">
        <f ca="1">IF($D179&lt;&gt;"Serviço",0,IF(AND(AUTOEVENTO="Manual",$M179=1),0,IF(OFFSET(CRONOPLE!$F$14,$M179,AO$13)="",10^12,OFFSET(CRONOPLE!$F$14,$M179,AO$13))))</f>
        <v>1</v>
      </c>
      <c r="AP179" s="216">
        <f ca="1">IF($D179&lt;&gt;"Serviço",0,IF(AND(AUTOEVENTO="Manual",$M179=1),0,IF(OFFSET(CRONOPLE!$F$14,$M179,AP$13)="",10^12,OFFSET(CRONOPLE!$F$14,$M179,AP$13))))</f>
        <v>1</v>
      </c>
      <c r="AQ179" s="216">
        <f ca="1">IF($D179&lt;&gt;"Serviço",0,IF(AND(AUTOEVENTO="Manual",$M179=1),0,IF(OFFSET(CRONOPLE!$F$14,$M179,AQ$13)="",10^12,OFFSET(CRONOPLE!$F$14,$M179,AQ$13))))</f>
        <v>2</v>
      </c>
      <c r="AR179" s="216">
        <f ca="1">IF($D179&lt;&gt;"Serviço",0,IF(AND(AUTOEVENTO="Manual",$M179=1),0,IF(OFFSET(CRONOPLE!$F$14,$M179,AR$13)="",10^12,OFFSET(CRONOPLE!$F$14,$M179,AR$13))))</f>
        <v>2</v>
      </c>
      <c r="AS179" s="216">
        <f ca="1">IF($D179&lt;&gt;"Serviço",0,IF(AND(AUTOEVENTO="Manual",$M179=1),0,IF(OFFSET(CRONOPLE!$F$14,$M179,AS$13)="",10^12,OFFSET(CRONOPLE!$F$14,$M179,AS$13))))</f>
        <v>2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hidden="1" x14ac:dyDescent="0.2">
      <c r="A180" s="9" t="str">
        <f t="shared" ca="1" si="18"/>
        <v>36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6</v>
      </c>
      <c r="N180" s="212" t="str">
        <f ca="1">IF($D180&lt;&gt;"Serviço","",IF(AUTOEVENTO="Manual",IF($A180=0,"&lt;-- defina o número do agrupador",OFFSET(EVENTOS!$D$14,$A180,0)),OFFSET($F$15,$A180,0)))</f>
        <v>ENSAIOS TECNOLÓGICOS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</v>
      </c>
      <c r="AN180" s="216">
        <f ca="1">IF($D180&lt;&gt;"Serviço",0,IF(AND(AUTOEVENTO="Manual",$M180=1),0,IF(OFFSET(CRONOPLE!$F$14,$M180,AN$13)="",10^12,OFFSET(CRONOPLE!$F$14,$M180,AN$13))))</f>
        <v>1</v>
      </c>
      <c r="AO180" s="216">
        <f ca="1">IF($D180&lt;&gt;"Serviço",0,IF(AND(AUTOEVENTO="Manual",$M180=1),0,IF(OFFSET(CRONOPLE!$F$14,$M180,AO$13)="",10^12,OFFSET(CRONOPLE!$F$14,$M180,AO$13))))</f>
        <v>1</v>
      </c>
      <c r="AP180" s="216">
        <f ca="1">IF($D180&lt;&gt;"Serviço",0,IF(AND(AUTOEVENTO="Manual",$M180=1),0,IF(OFFSET(CRONOPLE!$F$14,$M180,AP$13)="",10^12,OFFSET(CRONOPLE!$F$14,$M180,AP$13))))</f>
        <v>1</v>
      </c>
      <c r="AQ180" s="216">
        <f ca="1">IF($D180&lt;&gt;"Serviço",0,IF(AND(AUTOEVENTO="Manual",$M180=1),0,IF(OFFSET(CRONOPLE!$F$14,$M180,AQ$13)="",10^12,OFFSET(CRONOPLE!$F$14,$M180,AQ$13))))</f>
        <v>2</v>
      </c>
      <c r="AR180" s="216">
        <f ca="1">IF($D180&lt;&gt;"Serviço",0,IF(AND(AUTOEVENTO="Manual",$M180=1),0,IF(OFFSET(CRONOPLE!$F$14,$M180,AR$13)="",10^12,OFFSET(CRONOPLE!$F$14,$M180,AR$13))))</f>
        <v>2</v>
      </c>
      <c r="AS180" s="216">
        <f ca="1">IF($D180&lt;&gt;"Serviço",0,IF(AND(AUTOEVENTO="Manual",$M180=1),0,IF(OFFSET(CRONOPLE!$F$14,$M180,AS$13)="",10^12,OFFSET(CRONOPLE!$F$14,$M180,AS$13))))</f>
        <v>2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hidden="1" x14ac:dyDescent="0.2">
      <c r="A181" s="9" t="str">
        <f t="shared" ca="1" si="18"/>
        <v>36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6</v>
      </c>
      <c r="N181" s="212" t="str">
        <f ca="1">IF($D181&lt;&gt;"Serviço","",IF(AUTOEVENTO="Manual",IF($A181=0,"&lt;-- defina o número do agrupador",OFFSET(EVENTOS!$D$14,$A181,0)),OFFSET($F$15,$A181,0)))</f>
        <v>ENSAIOS TECNOLÓGICOS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</v>
      </c>
      <c r="AN181" s="216">
        <f ca="1">IF($D181&lt;&gt;"Serviço",0,IF(AND(AUTOEVENTO="Manual",$M181=1),0,IF(OFFSET(CRONOPLE!$F$14,$M181,AN$13)="",10^12,OFFSET(CRONOPLE!$F$14,$M181,AN$13))))</f>
        <v>1</v>
      </c>
      <c r="AO181" s="216">
        <f ca="1">IF($D181&lt;&gt;"Serviço",0,IF(AND(AUTOEVENTO="Manual",$M181=1),0,IF(OFFSET(CRONOPLE!$F$14,$M181,AO$13)="",10^12,OFFSET(CRONOPLE!$F$14,$M181,AO$13))))</f>
        <v>1</v>
      </c>
      <c r="AP181" s="216">
        <f ca="1">IF($D181&lt;&gt;"Serviço",0,IF(AND(AUTOEVENTO="Manual",$M181=1),0,IF(OFFSET(CRONOPLE!$F$14,$M181,AP$13)="",10^12,OFFSET(CRONOPLE!$F$14,$M181,AP$13))))</f>
        <v>1</v>
      </c>
      <c r="AQ181" s="216">
        <f ca="1">IF($D181&lt;&gt;"Serviço",0,IF(AND(AUTOEVENTO="Manual",$M181=1),0,IF(OFFSET(CRONOPLE!$F$14,$M181,AQ$13)="",10^12,OFFSET(CRONOPLE!$F$14,$M181,AQ$13))))</f>
        <v>2</v>
      </c>
      <c r="AR181" s="216">
        <f ca="1">IF($D181&lt;&gt;"Serviço",0,IF(AND(AUTOEVENTO="Manual",$M181=1),0,IF(OFFSET(CRONOPLE!$F$14,$M181,AR$13)="",10^12,OFFSET(CRONOPLE!$F$14,$M181,AR$13))))</f>
        <v>2</v>
      </c>
      <c r="AS181" s="216">
        <f ca="1">IF($D181&lt;&gt;"Serviço",0,IF(AND(AUTOEVENTO="Manual",$M181=1),0,IF(OFFSET(CRONOPLE!$F$14,$M181,AS$13)="",10^12,OFFSET(CRONOPLE!$F$14,$M181,AS$13))))</f>
        <v>2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hidden="1" x14ac:dyDescent="0.2">
      <c r="A182" s="9" t="str">
        <f t="shared" ca="1" si="18"/>
        <v>36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6</v>
      </c>
      <c r="N182" s="212" t="str">
        <f ca="1">IF($D182&lt;&gt;"Serviço","",IF(AUTOEVENTO="Manual",IF($A182=0,"&lt;-- defina o número do agrupador",OFFSET(EVENTOS!$D$14,$A182,0)),OFFSET($F$15,$A182,0)))</f>
        <v>ENSAIOS TECNOLÓGICOS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</v>
      </c>
      <c r="AN182" s="216">
        <f ca="1">IF($D182&lt;&gt;"Serviço",0,IF(AND(AUTOEVENTO="Manual",$M182=1),0,IF(OFFSET(CRONOPLE!$F$14,$M182,AN$13)="",10^12,OFFSET(CRONOPLE!$F$14,$M182,AN$13))))</f>
        <v>1</v>
      </c>
      <c r="AO182" s="216">
        <f ca="1">IF($D182&lt;&gt;"Serviço",0,IF(AND(AUTOEVENTO="Manual",$M182=1),0,IF(OFFSET(CRONOPLE!$F$14,$M182,AO$13)="",10^12,OFFSET(CRONOPLE!$F$14,$M182,AO$13))))</f>
        <v>1</v>
      </c>
      <c r="AP182" s="216">
        <f ca="1">IF($D182&lt;&gt;"Serviço",0,IF(AND(AUTOEVENTO="Manual",$M182=1),0,IF(OFFSET(CRONOPLE!$F$14,$M182,AP$13)="",10^12,OFFSET(CRONOPLE!$F$14,$M182,AP$13))))</f>
        <v>1</v>
      </c>
      <c r="AQ182" s="216">
        <f ca="1">IF($D182&lt;&gt;"Serviço",0,IF(AND(AUTOEVENTO="Manual",$M182=1),0,IF(OFFSET(CRONOPLE!$F$14,$M182,AQ$13)="",10^12,OFFSET(CRONOPLE!$F$14,$M182,AQ$13))))</f>
        <v>2</v>
      </c>
      <c r="AR182" s="216">
        <f ca="1">IF($D182&lt;&gt;"Serviço",0,IF(AND(AUTOEVENTO="Manual",$M182=1),0,IF(OFFSET(CRONOPLE!$F$14,$M182,AR$13)="",10^12,OFFSET(CRONOPLE!$F$14,$M182,AR$13))))</f>
        <v>2</v>
      </c>
      <c r="AS182" s="216">
        <f ca="1">IF($D182&lt;&gt;"Serviço",0,IF(AND(AUTOEVENTO="Manual",$M182=1),0,IF(OFFSET(CRONOPLE!$F$14,$M182,AS$13)="",10^12,OFFSET(CRONOPLE!$F$14,$M182,AS$13))))</f>
        <v>2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hidden="1" x14ac:dyDescent="0.2">
      <c r="A183" s="9" t="str">
        <f t="shared" ca="1" si="18"/>
        <v>36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6</v>
      </c>
      <c r="N183" s="212" t="str">
        <f ca="1">IF($D183&lt;&gt;"Serviço","",IF(AUTOEVENTO="Manual",IF($A183=0,"&lt;-- defina o número do agrupador",OFFSET(EVENTOS!$D$14,$A183,0)),OFFSET($F$15,$A183,0)))</f>
        <v>ENSAIOS TECNOLÓGICOS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</v>
      </c>
      <c r="AN183" s="216">
        <f ca="1">IF($D183&lt;&gt;"Serviço",0,IF(AND(AUTOEVENTO="Manual",$M183=1),0,IF(OFFSET(CRONOPLE!$F$14,$M183,AN$13)="",10^12,OFFSET(CRONOPLE!$F$14,$M183,AN$13))))</f>
        <v>1</v>
      </c>
      <c r="AO183" s="216">
        <f ca="1">IF($D183&lt;&gt;"Serviço",0,IF(AND(AUTOEVENTO="Manual",$M183=1),0,IF(OFFSET(CRONOPLE!$F$14,$M183,AO$13)="",10^12,OFFSET(CRONOPLE!$F$14,$M183,AO$13))))</f>
        <v>1</v>
      </c>
      <c r="AP183" s="216">
        <f ca="1">IF($D183&lt;&gt;"Serviço",0,IF(AND(AUTOEVENTO="Manual",$M183=1),0,IF(OFFSET(CRONOPLE!$F$14,$M183,AP$13)="",10^12,OFFSET(CRONOPLE!$F$14,$M183,AP$13))))</f>
        <v>1</v>
      </c>
      <c r="AQ183" s="216">
        <f ca="1">IF($D183&lt;&gt;"Serviço",0,IF(AND(AUTOEVENTO="Manual",$M183=1),0,IF(OFFSET(CRONOPLE!$F$14,$M183,AQ$13)="",10^12,OFFSET(CRONOPLE!$F$14,$M183,AQ$13))))</f>
        <v>2</v>
      </c>
      <c r="AR183" s="216">
        <f ca="1">IF($D183&lt;&gt;"Serviço",0,IF(AND(AUTOEVENTO="Manual",$M183=1),0,IF(OFFSET(CRONOPLE!$F$14,$M183,AR$13)="",10^12,OFFSET(CRONOPLE!$F$14,$M183,AR$13))))</f>
        <v>2</v>
      </c>
      <c r="AS183" s="216">
        <f ca="1">IF($D183&lt;&gt;"Serviço",0,IF(AND(AUTOEVENTO="Manual",$M183=1),0,IF(OFFSET(CRONOPLE!$F$14,$M183,AS$13)="",10^12,OFFSET(CRONOPLE!$F$14,$M183,AS$13))))</f>
        <v>2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hidden="1" x14ac:dyDescent="0.2">
      <c r="A184" s="9" t="str">
        <f t="shared" ca="1" si="18"/>
        <v>36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6</v>
      </c>
      <c r="N184" s="212" t="str">
        <f ca="1">IF($D184&lt;&gt;"Serviço","",IF(AUTOEVENTO="Manual",IF($A184=0,"&lt;-- defina o número do agrupador",OFFSET(EVENTOS!$D$14,$A184,0)),OFFSET($F$15,$A184,0)))</f>
        <v>ENSAIOS TECNOLÓGICOS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</v>
      </c>
      <c r="AN184" s="216">
        <f ca="1">IF($D184&lt;&gt;"Serviço",0,IF(AND(AUTOEVENTO="Manual",$M184=1),0,IF(OFFSET(CRONOPLE!$F$14,$M184,AN$13)="",10^12,OFFSET(CRONOPLE!$F$14,$M184,AN$13))))</f>
        <v>1</v>
      </c>
      <c r="AO184" s="216">
        <f ca="1">IF($D184&lt;&gt;"Serviço",0,IF(AND(AUTOEVENTO="Manual",$M184=1),0,IF(OFFSET(CRONOPLE!$F$14,$M184,AO$13)="",10^12,OFFSET(CRONOPLE!$F$14,$M184,AO$13))))</f>
        <v>1</v>
      </c>
      <c r="AP184" s="216">
        <f ca="1">IF($D184&lt;&gt;"Serviço",0,IF(AND(AUTOEVENTO="Manual",$M184=1),0,IF(OFFSET(CRONOPLE!$F$14,$M184,AP$13)="",10^12,OFFSET(CRONOPLE!$F$14,$M184,AP$13))))</f>
        <v>1</v>
      </c>
      <c r="AQ184" s="216">
        <f ca="1">IF($D184&lt;&gt;"Serviço",0,IF(AND(AUTOEVENTO="Manual",$M184=1),0,IF(OFFSET(CRONOPLE!$F$14,$M184,AQ$13)="",10^12,OFFSET(CRONOPLE!$F$14,$M184,AQ$13))))</f>
        <v>2</v>
      </c>
      <c r="AR184" s="216">
        <f ca="1">IF($D184&lt;&gt;"Serviço",0,IF(AND(AUTOEVENTO="Manual",$M184=1),0,IF(OFFSET(CRONOPLE!$F$14,$M184,AR$13)="",10^12,OFFSET(CRONOPLE!$F$14,$M184,AR$13))))</f>
        <v>2</v>
      </c>
      <c r="AS184" s="216">
        <f ca="1">IF($D184&lt;&gt;"Serviço",0,IF(AND(AUTOEVENTO="Manual",$M184=1),0,IF(OFFSET(CRONOPLE!$F$14,$M184,AS$13)="",10^12,OFFSET(CRONOPLE!$F$14,$M184,AS$13))))</f>
        <v>2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hidden="1" x14ac:dyDescent="0.2">
      <c r="A185" s="9" t="str">
        <f t="shared" ca="1" si="18"/>
        <v>36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6</v>
      </c>
      <c r="N185" s="212" t="str">
        <f ca="1">IF($D185&lt;&gt;"Serviço","",IF(AUTOEVENTO="Manual",IF($A185=0,"&lt;-- defina o número do agrupador",OFFSET(EVENTOS!$D$14,$A185,0)),OFFSET($F$15,$A185,0)))</f>
        <v>ENSAIOS TECNOLÓGICOS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</v>
      </c>
      <c r="AN185" s="216">
        <f ca="1">IF($D185&lt;&gt;"Serviço",0,IF(AND(AUTOEVENTO="Manual",$M185=1),0,IF(OFFSET(CRONOPLE!$F$14,$M185,AN$13)="",10^12,OFFSET(CRONOPLE!$F$14,$M185,AN$13))))</f>
        <v>1</v>
      </c>
      <c r="AO185" s="216">
        <f ca="1">IF($D185&lt;&gt;"Serviço",0,IF(AND(AUTOEVENTO="Manual",$M185=1),0,IF(OFFSET(CRONOPLE!$F$14,$M185,AO$13)="",10^12,OFFSET(CRONOPLE!$F$14,$M185,AO$13))))</f>
        <v>1</v>
      </c>
      <c r="AP185" s="216">
        <f ca="1">IF($D185&lt;&gt;"Serviço",0,IF(AND(AUTOEVENTO="Manual",$M185=1),0,IF(OFFSET(CRONOPLE!$F$14,$M185,AP$13)="",10^12,OFFSET(CRONOPLE!$F$14,$M185,AP$13))))</f>
        <v>1</v>
      </c>
      <c r="AQ185" s="216">
        <f ca="1">IF($D185&lt;&gt;"Serviço",0,IF(AND(AUTOEVENTO="Manual",$M185=1),0,IF(OFFSET(CRONOPLE!$F$14,$M185,AQ$13)="",10^12,OFFSET(CRONOPLE!$F$14,$M185,AQ$13))))</f>
        <v>2</v>
      </c>
      <c r="AR185" s="216">
        <f ca="1">IF($D185&lt;&gt;"Serviço",0,IF(AND(AUTOEVENTO="Manual",$M185=1),0,IF(OFFSET(CRONOPLE!$F$14,$M185,AR$13)="",10^12,OFFSET(CRONOPLE!$F$14,$M185,AR$13))))</f>
        <v>2</v>
      </c>
      <c r="AS185" s="216">
        <f ca="1">IF($D185&lt;&gt;"Serviço",0,IF(AND(AUTOEVENTO="Manual",$M185=1),0,IF(OFFSET(CRONOPLE!$F$14,$M185,AS$13)="",10^12,OFFSET(CRONOPLE!$F$14,$M185,AS$13))))</f>
        <v>2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hidden="1" x14ac:dyDescent="0.2">
      <c r="A186" s="9" t="str">
        <f t="shared" ca="1" si="18"/>
        <v>36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6</v>
      </c>
      <c r="N186" s="212" t="str">
        <f ca="1">IF($D186&lt;&gt;"Serviço","",IF(AUTOEVENTO="Manual",IF($A186=0,"&lt;-- defina o número do agrupador",OFFSET(EVENTOS!$D$14,$A186,0)),OFFSET($F$15,$A186,0)))</f>
        <v>ENSAIOS TECNOLÓGICOS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</v>
      </c>
      <c r="AN186" s="216">
        <f ca="1">IF($D186&lt;&gt;"Serviço",0,IF(AND(AUTOEVENTO="Manual",$M186=1),0,IF(OFFSET(CRONOPLE!$F$14,$M186,AN$13)="",10^12,OFFSET(CRONOPLE!$F$14,$M186,AN$13))))</f>
        <v>1</v>
      </c>
      <c r="AO186" s="216">
        <f ca="1">IF($D186&lt;&gt;"Serviço",0,IF(AND(AUTOEVENTO="Manual",$M186=1),0,IF(OFFSET(CRONOPLE!$F$14,$M186,AO$13)="",10^12,OFFSET(CRONOPLE!$F$14,$M186,AO$13))))</f>
        <v>1</v>
      </c>
      <c r="AP186" s="216">
        <f ca="1">IF($D186&lt;&gt;"Serviço",0,IF(AND(AUTOEVENTO="Manual",$M186=1),0,IF(OFFSET(CRONOPLE!$F$14,$M186,AP$13)="",10^12,OFFSET(CRONOPLE!$F$14,$M186,AP$13))))</f>
        <v>1</v>
      </c>
      <c r="AQ186" s="216">
        <f ca="1">IF($D186&lt;&gt;"Serviço",0,IF(AND(AUTOEVENTO="Manual",$M186=1),0,IF(OFFSET(CRONOPLE!$F$14,$M186,AQ$13)="",10^12,OFFSET(CRONOPLE!$F$14,$M186,AQ$13))))</f>
        <v>2</v>
      </c>
      <c r="AR186" s="216">
        <f ca="1">IF($D186&lt;&gt;"Serviço",0,IF(AND(AUTOEVENTO="Manual",$M186=1),0,IF(OFFSET(CRONOPLE!$F$14,$M186,AR$13)="",10^12,OFFSET(CRONOPLE!$F$14,$M186,AR$13))))</f>
        <v>2</v>
      </c>
      <c r="AS186" s="216">
        <f ca="1">IF($D186&lt;&gt;"Serviço",0,IF(AND(AUTOEVENTO="Manual",$M186=1),0,IF(OFFSET(CRONOPLE!$F$14,$M186,AS$13)="",10^12,OFFSET(CRONOPLE!$F$14,$M186,AS$13))))</f>
        <v>2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hidden="1" x14ac:dyDescent="0.2">
      <c r="A187" s="9" t="str">
        <f t="shared" ca="1" si="18"/>
        <v>36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6</v>
      </c>
      <c r="N187" s="212" t="str">
        <f ca="1">IF($D187&lt;&gt;"Serviço","",IF(AUTOEVENTO="Manual",IF($A187=0,"&lt;-- defina o número do agrupador",OFFSET(EVENTOS!$D$14,$A187,0)),OFFSET($F$15,$A187,0)))</f>
        <v>ENSAIOS TECNOLÓGICOS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</v>
      </c>
      <c r="AN187" s="216">
        <f ca="1">IF($D187&lt;&gt;"Serviço",0,IF(AND(AUTOEVENTO="Manual",$M187=1),0,IF(OFFSET(CRONOPLE!$F$14,$M187,AN$13)="",10^12,OFFSET(CRONOPLE!$F$14,$M187,AN$13))))</f>
        <v>1</v>
      </c>
      <c r="AO187" s="216">
        <f ca="1">IF($D187&lt;&gt;"Serviço",0,IF(AND(AUTOEVENTO="Manual",$M187=1),0,IF(OFFSET(CRONOPLE!$F$14,$M187,AO$13)="",10^12,OFFSET(CRONOPLE!$F$14,$M187,AO$13))))</f>
        <v>1</v>
      </c>
      <c r="AP187" s="216">
        <f ca="1">IF($D187&lt;&gt;"Serviço",0,IF(AND(AUTOEVENTO="Manual",$M187=1),0,IF(OFFSET(CRONOPLE!$F$14,$M187,AP$13)="",10^12,OFFSET(CRONOPLE!$F$14,$M187,AP$13))))</f>
        <v>1</v>
      </c>
      <c r="AQ187" s="216">
        <f ca="1">IF($D187&lt;&gt;"Serviço",0,IF(AND(AUTOEVENTO="Manual",$M187=1),0,IF(OFFSET(CRONOPLE!$F$14,$M187,AQ$13)="",10^12,OFFSET(CRONOPLE!$F$14,$M187,AQ$13))))</f>
        <v>2</v>
      </c>
      <c r="AR187" s="216">
        <f ca="1">IF($D187&lt;&gt;"Serviço",0,IF(AND(AUTOEVENTO="Manual",$M187=1),0,IF(OFFSET(CRONOPLE!$F$14,$M187,AR$13)="",10^12,OFFSET(CRONOPLE!$F$14,$M187,AR$13))))</f>
        <v>2</v>
      </c>
      <c r="AS187" s="216">
        <f ca="1">IF($D187&lt;&gt;"Serviço",0,IF(AND(AUTOEVENTO="Manual",$M187=1),0,IF(OFFSET(CRONOPLE!$F$14,$M187,AS$13)="",10^12,OFFSET(CRONOPLE!$F$14,$M187,AS$13))))</f>
        <v>2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hidden="1" x14ac:dyDescent="0.2">
      <c r="A188" s="9" t="str">
        <f t="shared" ca="1" si="18"/>
        <v>36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6</v>
      </c>
      <c r="N188" s="212" t="str">
        <f ca="1">IF($D188&lt;&gt;"Serviço","",IF(AUTOEVENTO="Manual",IF($A188=0,"&lt;-- defina o número do agrupador",OFFSET(EVENTOS!$D$14,$A188,0)),OFFSET($F$15,$A188,0)))</f>
        <v>ENSAIOS TECNOLÓGICOS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</v>
      </c>
      <c r="AN188" s="216">
        <f ca="1">IF($D188&lt;&gt;"Serviço",0,IF(AND(AUTOEVENTO="Manual",$M188=1),0,IF(OFFSET(CRONOPLE!$F$14,$M188,AN$13)="",10^12,OFFSET(CRONOPLE!$F$14,$M188,AN$13))))</f>
        <v>1</v>
      </c>
      <c r="AO188" s="216">
        <f ca="1">IF($D188&lt;&gt;"Serviço",0,IF(AND(AUTOEVENTO="Manual",$M188=1),0,IF(OFFSET(CRONOPLE!$F$14,$M188,AO$13)="",10^12,OFFSET(CRONOPLE!$F$14,$M188,AO$13))))</f>
        <v>1</v>
      </c>
      <c r="AP188" s="216">
        <f ca="1">IF($D188&lt;&gt;"Serviço",0,IF(AND(AUTOEVENTO="Manual",$M188=1),0,IF(OFFSET(CRONOPLE!$F$14,$M188,AP$13)="",10^12,OFFSET(CRONOPLE!$F$14,$M188,AP$13))))</f>
        <v>1</v>
      </c>
      <c r="AQ188" s="216">
        <f ca="1">IF($D188&lt;&gt;"Serviço",0,IF(AND(AUTOEVENTO="Manual",$M188=1),0,IF(OFFSET(CRONOPLE!$F$14,$M188,AQ$13)="",10^12,OFFSET(CRONOPLE!$F$14,$M188,AQ$13))))</f>
        <v>2</v>
      </c>
      <c r="AR188" s="216">
        <f ca="1">IF($D188&lt;&gt;"Serviço",0,IF(AND(AUTOEVENTO="Manual",$M188=1),0,IF(OFFSET(CRONOPLE!$F$14,$M188,AR$13)="",10^12,OFFSET(CRONOPLE!$F$14,$M188,AR$13))))</f>
        <v>2</v>
      </c>
      <c r="AS188" s="216">
        <f ca="1">IF($D188&lt;&gt;"Serviço",0,IF(AND(AUTOEVENTO="Manual",$M188=1),0,IF(OFFSET(CRONOPLE!$F$14,$M188,AS$13)="",10^12,OFFSET(CRONOPLE!$F$14,$M188,AS$13))))</f>
        <v>2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hidden="1" x14ac:dyDescent="0.2">
      <c r="A189" s="9" t="str">
        <f t="shared" ca="1" si="18"/>
        <v>36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6</v>
      </c>
      <c r="N189" s="212" t="str">
        <f ca="1">IF($D189&lt;&gt;"Serviço","",IF(AUTOEVENTO="Manual",IF($A189=0,"&lt;-- defina o número do agrupador",OFFSET(EVENTOS!$D$14,$A189,0)),OFFSET($F$15,$A189,0)))</f>
        <v>ENSAIOS TECNOLÓGICOS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</v>
      </c>
      <c r="AN189" s="216">
        <f ca="1">IF($D189&lt;&gt;"Serviço",0,IF(AND(AUTOEVENTO="Manual",$M189=1),0,IF(OFFSET(CRONOPLE!$F$14,$M189,AN$13)="",10^12,OFFSET(CRONOPLE!$F$14,$M189,AN$13))))</f>
        <v>1</v>
      </c>
      <c r="AO189" s="216">
        <f ca="1">IF($D189&lt;&gt;"Serviço",0,IF(AND(AUTOEVENTO="Manual",$M189=1),0,IF(OFFSET(CRONOPLE!$F$14,$M189,AO$13)="",10^12,OFFSET(CRONOPLE!$F$14,$M189,AO$13))))</f>
        <v>1</v>
      </c>
      <c r="AP189" s="216">
        <f ca="1">IF($D189&lt;&gt;"Serviço",0,IF(AND(AUTOEVENTO="Manual",$M189=1),0,IF(OFFSET(CRONOPLE!$F$14,$M189,AP$13)="",10^12,OFFSET(CRONOPLE!$F$14,$M189,AP$13))))</f>
        <v>1</v>
      </c>
      <c r="AQ189" s="216">
        <f ca="1">IF($D189&lt;&gt;"Serviço",0,IF(AND(AUTOEVENTO="Manual",$M189=1),0,IF(OFFSET(CRONOPLE!$F$14,$M189,AQ$13)="",10^12,OFFSET(CRONOPLE!$F$14,$M189,AQ$13))))</f>
        <v>2</v>
      </c>
      <c r="AR189" s="216">
        <f ca="1">IF($D189&lt;&gt;"Serviço",0,IF(AND(AUTOEVENTO="Manual",$M189=1),0,IF(OFFSET(CRONOPLE!$F$14,$M189,AR$13)="",10^12,OFFSET(CRONOPLE!$F$14,$M189,AR$13))))</f>
        <v>2</v>
      </c>
      <c r="AS189" s="216">
        <f ca="1">IF($D189&lt;&gt;"Serviço",0,IF(AND(AUTOEVENTO="Manual",$M189=1),0,IF(OFFSET(CRONOPLE!$F$14,$M189,AS$13)="",10^12,OFFSET(CRONOPLE!$F$14,$M189,AS$13))))</f>
        <v>2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hidden="1" x14ac:dyDescent="0.2">
      <c r="A190" s="9" t="str">
        <f t="shared" ca="1" si="18"/>
        <v>36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6</v>
      </c>
      <c r="N190" s="212" t="str">
        <f ca="1">IF($D190&lt;&gt;"Serviço","",IF(AUTOEVENTO="Manual",IF($A190=0,"&lt;-- defina o número do agrupador",OFFSET(EVENTOS!$D$14,$A190,0)),OFFSET($F$15,$A190,0)))</f>
        <v>ENSAIOS TECNOLÓGICOS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</v>
      </c>
      <c r="AN190" s="216">
        <f ca="1">IF($D190&lt;&gt;"Serviço",0,IF(AND(AUTOEVENTO="Manual",$M190=1),0,IF(OFFSET(CRONOPLE!$F$14,$M190,AN$13)="",10^12,OFFSET(CRONOPLE!$F$14,$M190,AN$13))))</f>
        <v>1</v>
      </c>
      <c r="AO190" s="216">
        <f ca="1">IF($D190&lt;&gt;"Serviço",0,IF(AND(AUTOEVENTO="Manual",$M190=1),0,IF(OFFSET(CRONOPLE!$F$14,$M190,AO$13)="",10^12,OFFSET(CRONOPLE!$F$14,$M190,AO$13))))</f>
        <v>1</v>
      </c>
      <c r="AP190" s="216">
        <f ca="1">IF($D190&lt;&gt;"Serviço",0,IF(AND(AUTOEVENTO="Manual",$M190=1),0,IF(OFFSET(CRONOPLE!$F$14,$M190,AP$13)="",10^12,OFFSET(CRONOPLE!$F$14,$M190,AP$13))))</f>
        <v>1</v>
      </c>
      <c r="AQ190" s="216">
        <f ca="1">IF($D190&lt;&gt;"Serviço",0,IF(AND(AUTOEVENTO="Manual",$M190=1),0,IF(OFFSET(CRONOPLE!$F$14,$M190,AQ$13)="",10^12,OFFSET(CRONOPLE!$F$14,$M190,AQ$13))))</f>
        <v>2</v>
      </c>
      <c r="AR190" s="216">
        <f ca="1">IF($D190&lt;&gt;"Serviço",0,IF(AND(AUTOEVENTO="Manual",$M190=1),0,IF(OFFSET(CRONOPLE!$F$14,$M190,AR$13)="",10^12,OFFSET(CRONOPLE!$F$14,$M190,AR$13))))</f>
        <v>2</v>
      </c>
      <c r="AS190" s="216">
        <f ca="1">IF($D190&lt;&gt;"Serviço",0,IF(AND(AUTOEVENTO="Manual",$M190=1),0,IF(OFFSET(CRONOPLE!$F$14,$M190,AS$13)="",10^12,OFFSET(CRONOPLE!$F$14,$M190,AS$13))))</f>
        <v>2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hidden="1" x14ac:dyDescent="0.2">
      <c r="A191" s="9" t="str">
        <f t="shared" ca="1" si="18"/>
        <v>36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6</v>
      </c>
      <c r="N191" s="212" t="str">
        <f ca="1">IF($D191&lt;&gt;"Serviço","",IF(AUTOEVENTO="Manual",IF($A191=0,"&lt;-- defina o número do agrupador",OFFSET(EVENTOS!$D$14,$A191,0)),OFFSET($F$15,$A191,0)))</f>
        <v>ENSAIOS TECNOLÓGICOS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</v>
      </c>
      <c r="AN191" s="216">
        <f ca="1">IF($D191&lt;&gt;"Serviço",0,IF(AND(AUTOEVENTO="Manual",$M191=1),0,IF(OFFSET(CRONOPLE!$F$14,$M191,AN$13)="",10^12,OFFSET(CRONOPLE!$F$14,$M191,AN$13))))</f>
        <v>1</v>
      </c>
      <c r="AO191" s="216">
        <f ca="1">IF($D191&lt;&gt;"Serviço",0,IF(AND(AUTOEVENTO="Manual",$M191=1),0,IF(OFFSET(CRONOPLE!$F$14,$M191,AO$13)="",10^12,OFFSET(CRONOPLE!$F$14,$M191,AO$13))))</f>
        <v>1</v>
      </c>
      <c r="AP191" s="216">
        <f ca="1">IF($D191&lt;&gt;"Serviço",0,IF(AND(AUTOEVENTO="Manual",$M191=1),0,IF(OFFSET(CRONOPLE!$F$14,$M191,AP$13)="",10^12,OFFSET(CRONOPLE!$F$14,$M191,AP$13))))</f>
        <v>1</v>
      </c>
      <c r="AQ191" s="216">
        <f ca="1">IF($D191&lt;&gt;"Serviço",0,IF(AND(AUTOEVENTO="Manual",$M191=1),0,IF(OFFSET(CRONOPLE!$F$14,$M191,AQ$13)="",10^12,OFFSET(CRONOPLE!$F$14,$M191,AQ$13))))</f>
        <v>2</v>
      </c>
      <c r="AR191" s="216">
        <f ca="1">IF($D191&lt;&gt;"Serviço",0,IF(AND(AUTOEVENTO="Manual",$M191=1),0,IF(OFFSET(CRONOPLE!$F$14,$M191,AR$13)="",10^12,OFFSET(CRONOPLE!$F$14,$M191,AR$13))))</f>
        <v>2</v>
      </c>
      <c r="AS191" s="216">
        <f ca="1">IF($D191&lt;&gt;"Serviço",0,IF(AND(AUTOEVENTO="Manual",$M191=1),0,IF(OFFSET(CRONOPLE!$F$14,$M191,AS$13)="",10^12,OFFSET(CRONOPLE!$F$14,$M191,AS$13))))</f>
        <v>2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hidden="1" x14ac:dyDescent="0.2">
      <c r="A192" s="9" t="str">
        <f t="shared" ca="1" si="18"/>
        <v>36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6</v>
      </c>
      <c r="N192" s="212" t="str">
        <f ca="1">IF($D192&lt;&gt;"Serviço","",IF(AUTOEVENTO="Manual",IF($A192=0,"&lt;-- defina o número do agrupador",OFFSET(EVENTOS!$D$14,$A192,0)),OFFSET($F$15,$A192,0)))</f>
        <v>ENSAIOS TECNOLÓGICOS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</v>
      </c>
      <c r="AN192" s="216">
        <f ca="1">IF($D192&lt;&gt;"Serviço",0,IF(AND(AUTOEVENTO="Manual",$M192=1),0,IF(OFFSET(CRONOPLE!$F$14,$M192,AN$13)="",10^12,OFFSET(CRONOPLE!$F$14,$M192,AN$13))))</f>
        <v>1</v>
      </c>
      <c r="AO192" s="216">
        <f ca="1">IF($D192&lt;&gt;"Serviço",0,IF(AND(AUTOEVENTO="Manual",$M192=1),0,IF(OFFSET(CRONOPLE!$F$14,$M192,AO$13)="",10^12,OFFSET(CRONOPLE!$F$14,$M192,AO$13))))</f>
        <v>1</v>
      </c>
      <c r="AP192" s="216">
        <f ca="1">IF($D192&lt;&gt;"Serviço",0,IF(AND(AUTOEVENTO="Manual",$M192=1),0,IF(OFFSET(CRONOPLE!$F$14,$M192,AP$13)="",10^12,OFFSET(CRONOPLE!$F$14,$M192,AP$13))))</f>
        <v>1</v>
      </c>
      <c r="AQ192" s="216">
        <f ca="1">IF($D192&lt;&gt;"Serviço",0,IF(AND(AUTOEVENTO="Manual",$M192=1),0,IF(OFFSET(CRONOPLE!$F$14,$M192,AQ$13)="",10^12,OFFSET(CRONOPLE!$F$14,$M192,AQ$13))))</f>
        <v>2</v>
      </c>
      <c r="AR192" s="216">
        <f ca="1">IF($D192&lt;&gt;"Serviço",0,IF(AND(AUTOEVENTO="Manual",$M192=1),0,IF(OFFSET(CRONOPLE!$F$14,$M192,AR$13)="",10^12,OFFSET(CRONOPLE!$F$14,$M192,AR$13))))</f>
        <v>2</v>
      </c>
      <c r="AS192" s="216">
        <f ca="1">IF($D192&lt;&gt;"Serviço",0,IF(AND(AUTOEVENTO="Manual",$M192=1),0,IF(OFFSET(CRONOPLE!$F$14,$M192,AS$13)="",10^12,OFFSET(CRONOPLE!$F$14,$M192,AS$13))))</f>
        <v>2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hidden="1" x14ac:dyDescent="0.2">
      <c r="A193" s="9" t="str">
        <f t="shared" ca="1" si="18"/>
        <v>36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6</v>
      </c>
      <c r="N193" s="212" t="str">
        <f ca="1">IF($D193&lt;&gt;"Serviço","",IF(AUTOEVENTO="Manual",IF($A193=0,"&lt;-- defina o número do agrupador",OFFSET(EVENTOS!$D$14,$A193,0)),OFFSET($F$15,$A193,0)))</f>
        <v>ENSAIOS TECNOLÓGICOS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</v>
      </c>
      <c r="AN193" s="216">
        <f ca="1">IF($D193&lt;&gt;"Serviço",0,IF(AND(AUTOEVENTO="Manual",$M193=1),0,IF(OFFSET(CRONOPLE!$F$14,$M193,AN$13)="",10^12,OFFSET(CRONOPLE!$F$14,$M193,AN$13))))</f>
        <v>1</v>
      </c>
      <c r="AO193" s="216">
        <f ca="1">IF($D193&lt;&gt;"Serviço",0,IF(AND(AUTOEVENTO="Manual",$M193=1),0,IF(OFFSET(CRONOPLE!$F$14,$M193,AO$13)="",10^12,OFFSET(CRONOPLE!$F$14,$M193,AO$13))))</f>
        <v>1</v>
      </c>
      <c r="AP193" s="216">
        <f ca="1">IF($D193&lt;&gt;"Serviço",0,IF(AND(AUTOEVENTO="Manual",$M193=1),0,IF(OFFSET(CRONOPLE!$F$14,$M193,AP$13)="",10^12,OFFSET(CRONOPLE!$F$14,$M193,AP$13))))</f>
        <v>1</v>
      </c>
      <c r="AQ193" s="216">
        <f ca="1">IF($D193&lt;&gt;"Serviço",0,IF(AND(AUTOEVENTO="Manual",$M193=1),0,IF(OFFSET(CRONOPLE!$F$14,$M193,AQ$13)="",10^12,OFFSET(CRONOPLE!$F$14,$M193,AQ$13))))</f>
        <v>2</v>
      </c>
      <c r="AR193" s="216">
        <f ca="1">IF($D193&lt;&gt;"Serviço",0,IF(AND(AUTOEVENTO="Manual",$M193=1),0,IF(OFFSET(CRONOPLE!$F$14,$M193,AR$13)="",10^12,OFFSET(CRONOPLE!$F$14,$M193,AR$13))))</f>
        <v>2</v>
      </c>
      <c r="AS193" s="216">
        <f ca="1">IF($D193&lt;&gt;"Serviço",0,IF(AND(AUTOEVENTO="Manual",$M193=1),0,IF(OFFSET(CRONOPLE!$F$14,$M193,AS$13)="",10^12,OFFSET(CRONOPLE!$F$14,$M193,AS$13))))</f>
        <v>2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hidden="1" x14ac:dyDescent="0.2">
      <c r="A194" s="9" t="str">
        <f t="shared" ca="1" si="18"/>
        <v>36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6</v>
      </c>
      <c r="N194" s="212" t="str">
        <f ca="1">IF($D194&lt;&gt;"Serviço","",IF(AUTOEVENTO="Manual",IF($A194=0,"&lt;-- defina o número do agrupador",OFFSET(EVENTOS!$D$14,$A194,0)),OFFSET($F$15,$A194,0)))</f>
        <v>ENSAIOS TECNOLÓGICOS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</v>
      </c>
      <c r="AN194" s="216">
        <f ca="1">IF($D194&lt;&gt;"Serviço",0,IF(AND(AUTOEVENTO="Manual",$M194=1),0,IF(OFFSET(CRONOPLE!$F$14,$M194,AN$13)="",10^12,OFFSET(CRONOPLE!$F$14,$M194,AN$13))))</f>
        <v>1</v>
      </c>
      <c r="AO194" s="216">
        <f ca="1">IF($D194&lt;&gt;"Serviço",0,IF(AND(AUTOEVENTO="Manual",$M194=1),0,IF(OFFSET(CRONOPLE!$F$14,$M194,AO$13)="",10^12,OFFSET(CRONOPLE!$F$14,$M194,AO$13))))</f>
        <v>1</v>
      </c>
      <c r="AP194" s="216">
        <f ca="1">IF($D194&lt;&gt;"Serviço",0,IF(AND(AUTOEVENTO="Manual",$M194=1),0,IF(OFFSET(CRONOPLE!$F$14,$M194,AP$13)="",10^12,OFFSET(CRONOPLE!$F$14,$M194,AP$13))))</f>
        <v>1</v>
      </c>
      <c r="AQ194" s="216">
        <f ca="1">IF($D194&lt;&gt;"Serviço",0,IF(AND(AUTOEVENTO="Manual",$M194=1),0,IF(OFFSET(CRONOPLE!$F$14,$M194,AQ$13)="",10^12,OFFSET(CRONOPLE!$F$14,$M194,AQ$13))))</f>
        <v>2</v>
      </c>
      <c r="AR194" s="216">
        <f ca="1">IF($D194&lt;&gt;"Serviço",0,IF(AND(AUTOEVENTO="Manual",$M194=1),0,IF(OFFSET(CRONOPLE!$F$14,$M194,AR$13)="",10^12,OFFSET(CRONOPLE!$F$14,$M194,AR$13))))</f>
        <v>2</v>
      </c>
      <c r="AS194" s="216">
        <f ca="1">IF($D194&lt;&gt;"Serviço",0,IF(AND(AUTOEVENTO="Manual",$M194=1),0,IF(OFFSET(CRONOPLE!$F$14,$M194,AS$13)="",10^12,OFFSET(CRONOPLE!$F$14,$M194,AS$13))))</f>
        <v>2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hidden="1" x14ac:dyDescent="0.2">
      <c r="A195" s="9" t="str">
        <f t="shared" ca="1" si="18"/>
        <v>36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6</v>
      </c>
      <c r="N195" s="212" t="str">
        <f ca="1">IF($D195&lt;&gt;"Serviço","",IF(AUTOEVENTO="Manual",IF($A195=0,"&lt;-- defina o número do agrupador",OFFSET(EVENTOS!$D$14,$A195,0)),OFFSET($F$15,$A195,0)))</f>
        <v>ENSAIOS TECNOLÓGICOS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</v>
      </c>
      <c r="AN195" s="216">
        <f ca="1">IF($D195&lt;&gt;"Serviço",0,IF(AND(AUTOEVENTO="Manual",$M195=1),0,IF(OFFSET(CRONOPLE!$F$14,$M195,AN$13)="",10^12,OFFSET(CRONOPLE!$F$14,$M195,AN$13))))</f>
        <v>1</v>
      </c>
      <c r="AO195" s="216">
        <f ca="1">IF($D195&lt;&gt;"Serviço",0,IF(AND(AUTOEVENTO="Manual",$M195=1),0,IF(OFFSET(CRONOPLE!$F$14,$M195,AO$13)="",10^12,OFFSET(CRONOPLE!$F$14,$M195,AO$13))))</f>
        <v>1</v>
      </c>
      <c r="AP195" s="216">
        <f ca="1">IF($D195&lt;&gt;"Serviço",0,IF(AND(AUTOEVENTO="Manual",$M195=1),0,IF(OFFSET(CRONOPLE!$F$14,$M195,AP$13)="",10^12,OFFSET(CRONOPLE!$F$14,$M195,AP$13))))</f>
        <v>1</v>
      </c>
      <c r="AQ195" s="216">
        <f ca="1">IF($D195&lt;&gt;"Serviço",0,IF(AND(AUTOEVENTO="Manual",$M195=1),0,IF(OFFSET(CRONOPLE!$F$14,$M195,AQ$13)="",10^12,OFFSET(CRONOPLE!$F$14,$M195,AQ$13))))</f>
        <v>2</v>
      </c>
      <c r="AR195" s="216">
        <f ca="1">IF($D195&lt;&gt;"Serviço",0,IF(AND(AUTOEVENTO="Manual",$M195=1),0,IF(OFFSET(CRONOPLE!$F$14,$M195,AR$13)="",10^12,OFFSET(CRONOPLE!$F$14,$M195,AR$13))))</f>
        <v>2</v>
      </c>
      <c r="AS195" s="216">
        <f ca="1">IF($D195&lt;&gt;"Serviço",0,IF(AND(AUTOEVENTO="Manual",$M195=1),0,IF(OFFSET(CRONOPLE!$F$14,$M195,AS$13)="",10^12,OFFSET(CRONOPLE!$F$14,$M195,AS$13))))</f>
        <v>2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hidden="1" x14ac:dyDescent="0.2">
      <c r="A196" s="9" t="str">
        <f t="shared" ca="1" si="18"/>
        <v>36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6</v>
      </c>
      <c r="N196" s="212" t="str">
        <f ca="1">IF($D196&lt;&gt;"Serviço","",IF(AUTOEVENTO="Manual",IF($A196=0,"&lt;-- defina o número do agrupador",OFFSET(EVENTOS!$D$14,$A196,0)),OFFSET($F$15,$A196,0)))</f>
        <v>ENSAIOS TECNOLÓGICOS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</v>
      </c>
      <c r="AN196" s="216">
        <f ca="1">IF($D196&lt;&gt;"Serviço",0,IF(AND(AUTOEVENTO="Manual",$M196=1),0,IF(OFFSET(CRONOPLE!$F$14,$M196,AN$13)="",10^12,OFFSET(CRONOPLE!$F$14,$M196,AN$13))))</f>
        <v>1</v>
      </c>
      <c r="AO196" s="216">
        <f ca="1">IF($D196&lt;&gt;"Serviço",0,IF(AND(AUTOEVENTO="Manual",$M196=1),0,IF(OFFSET(CRONOPLE!$F$14,$M196,AO$13)="",10^12,OFFSET(CRONOPLE!$F$14,$M196,AO$13))))</f>
        <v>1</v>
      </c>
      <c r="AP196" s="216">
        <f ca="1">IF($D196&lt;&gt;"Serviço",0,IF(AND(AUTOEVENTO="Manual",$M196=1),0,IF(OFFSET(CRONOPLE!$F$14,$M196,AP$13)="",10^12,OFFSET(CRONOPLE!$F$14,$M196,AP$13))))</f>
        <v>1</v>
      </c>
      <c r="AQ196" s="216">
        <f ca="1">IF($D196&lt;&gt;"Serviço",0,IF(AND(AUTOEVENTO="Manual",$M196=1),0,IF(OFFSET(CRONOPLE!$F$14,$M196,AQ$13)="",10^12,OFFSET(CRONOPLE!$F$14,$M196,AQ$13))))</f>
        <v>2</v>
      </c>
      <c r="AR196" s="216">
        <f ca="1">IF($D196&lt;&gt;"Serviço",0,IF(AND(AUTOEVENTO="Manual",$M196=1),0,IF(OFFSET(CRONOPLE!$F$14,$M196,AR$13)="",10^12,OFFSET(CRONOPLE!$F$14,$M196,AR$13))))</f>
        <v>2</v>
      </c>
      <c r="AS196" s="216">
        <f ca="1">IF($D196&lt;&gt;"Serviço",0,IF(AND(AUTOEVENTO="Manual",$M196=1),0,IF(OFFSET(CRONOPLE!$F$14,$M196,AS$13)="",10^12,OFFSET(CRONOPLE!$F$14,$M196,AS$13))))</f>
        <v>2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hidden="1" x14ac:dyDescent="0.2">
      <c r="A197" s="9" t="str">
        <f t="shared" ca="1" si="18"/>
        <v>36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6</v>
      </c>
      <c r="N197" s="212" t="str">
        <f ca="1">IF($D197&lt;&gt;"Serviço","",IF(AUTOEVENTO="Manual",IF($A197=0,"&lt;-- defina o número do agrupador",OFFSET(EVENTOS!$D$14,$A197,0)),OFFSET($F$15,$A197,0)))</f>
        <v>ENSAIOS TECNOLÓGICOS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</v>
      </c>
      <c r="AN197" s="216">
        <f ca="1">IF($D197&lt;&gt;"Serviço",0,IF(AND(AUTOEVENTO="Manual",$M197=1),0,IF(OFFSET(CRONOPLE!$F$14,$M197,AN$13)="",10^12,OFFSET(CRONOPLE!$F$14,$M197,AN$13))))</f>
        <v>1</v>
      </c>
      <c r="AO197" s="216">
        <f ca="1">IF($D197&lt;&gt;"Serviço",0,IF(AND(AUTOEVENTO="Manual",$M197=1),0,IF(OFFSET(CRONOPLE!$F$14,$M197,AO$13)="",10^12,OFFSET(CRONOPLE!$F$14,$M197,AO$13))))</f>
        <v>1</v>
      </c>
      <c r="AP197" s="216">
        <f ca="1">IF($D197&lt;&gt;"Serviço",0,IF(AND(AUTOEVENTO="Manual",$M197=1),0,IF(OFFSET(CRONOPLE!$F$14,$M197,AP$13)="",10^12,OFFSET(CRONOPLE!$F$14,$M197,AP$13))))</f>
        <v>1</v>
      </c>
      <c r="AQ197" s="216">
        <f ca="1">IF($D197&lt;&gt;"Serviço",0,IF(AND(AUTOEVENTO="Manual",$M197=1),0,IF(OFFSET(CRONOPLE!$F$14,$M197,AQ$13)="",10^12,OFFSET(CRONOPLE!$F$14,$M197,AQ$13))))</f>
        <v>2</v>
      </c>
      <c r="AR197" s="216">
        <f ca="1">IF($D197&lt;&gt;"Serviço",0,IF(AND(AUTOEVENTO="Manual",$M197=1),0,IF(OFFSET(CRONOPLE!$F$14,$M197,AR$13)="",10^12,OFFSET(CRONOPLE!$F$14,$M197,AR$13))))</f>
        <v>2</v>
      </c>
      <c r="AS197" s="216">
        <f ca="1">IF($D197&lt;&gt;"Serviço",0,IF(AND(AUTOEVENTO="Manual",$M197=1),0,IF(OFFSET(CRONOPLE!$F$14,$M197,AS$13)="",10^12,OFFSET(CRONOPLE!$F$14,$M197,AS$13))))</f>
        <v>2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hidden="1" x14ac:dyDescent="0.2">
      <c r="A198" s="9" t="str">
        <f t="shared" ca="1" si="18"/>
        <v>36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6</v>
      </c>
      <c r="N198" s="212" t="str">
        <f ca="1">IF($D198&lt;&gt;"Serviço","",IF(AUTOEVENTO="Manual",IF($A198=0,"&lt;-- defina o número do agrupador",OFFSET(EVENTOS!$D$14,$A198,0)),OFFSET($F$15,$A198,0)))</f>
        <v>ENSAIOS TECNOLÓGICOS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</v>
      </c>
      <c r="AN198" s="216">
        <f ca="1">IF($D198&lt;&gt;"Serviço",0,IF(AND(AUTOEVENTO="Manual",$M198=1),0,IF(OFFSET(CRONOPLE!$F$14,$M198,AN$13)="",10^12,OFFSET(CRONOPLE!$F$14,$M198,AN$13))))</f>
        <v>1</v>
      </c>
      <c r="AO198" s="216">
        <f ca="1">IF($D198&lt;&gt;"Serviço",0,IF(AND(AUTOEVENTO="Manual",$M198=1),0,IF(OFFSET(CRONOPLE!$F$14,$M198,AO$13)="",10^12,OFFSET(CRONOPLE!$F$14,$M198,AO$13))))</f>
        <v>1</v>
      </c>
      <c r="AP198" s="216">
        <f ca="1">IF($D198&lt;&gt;"Serviço",0,IF(AND(AUTOEVENTO="Manual",$M198=1),0,IF(OFFSET(CRONOPLE!$F$14,$M198,AP$13)="",10^12,OFFSET(CRONOPLE!$F$14,$M198,AP$13))))</f>
        <v>1</v>
      </c>
      <c r="AQ198" s="216">
        <f ca="1">IF($D198&lt;&gt;"Serviço",0,IF(AND(AUTOEVENTO="Manual",$M198=1),0,IF(OFFSET(CRONOPLE!$F$14,$M198,AQ$13)="",10^12,OFFSET(CRONOPLE!$F$14,$M198,AQ$13))))</f>
        <v>2</v>
      </c>
      <c r="AR198" s="216">
        <f ca="1">IF($D198&lt;&gt;"Serviço",0,IF(AND(AUTOEVENTO="Manual",$M198=1),0,IF(OFFSET(CRONOPLE!$F$14,$M198,AR$13)="",10^12,OFFSET(CRONOPLE!$F$14,$M198,AR$13))))</f>
        <v>2</v>
      </c>
      <c r="AS198" s="216">
        <f ca="1">IF($D198&lt;&gt;"Serviço",0,IF(AND(AUTOEVENTO="Manual",$M198=1),0,IF(OFFSET(CRONOPLE!$F$14,$M198,AS$13)="",10^12,OFFSET(CRONOPLE!$F$14,$M198,AS$13))))</f>
        <v>2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hidden="1" x14ac:dyDescent="0.2">
      <c r="A199" s="9" t="str">
        <f t="shared" ca="1" si="18"/>
        <v>36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6</v>
      </c>
      <c r="N199" s="212" t="str">
        <f ca="1">IF($D199&lt;&gt;"Serviço","",IF(AUTOEVENTO="Manual",IF($A199=0,"&lt;-- defina o número do agrupador",OFFSET(EVENTOS!$D$14,$A199,0)),OFFSET($F$15,$A199,0)))</f>
        <v>ENSAIOS TECNOLÓGICOS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</v>
      </c>
      <c r="AN199" s="216">
        <f ca="1">IF($D199&lt;&gt;"Serviço",0,IF(AND(AUTOEVENTO="Manual",$M199=1),0,IF(OFFSET(CRONOPLE!$F$14,$M199,AN$13)="",10^12,OFFSET(CRONOPLE!$F$14,$M199,AN$13))))</f>
        <v>1</v>
      </c>
      <c r="AO199" s="216">
        <f ca="1">IF($D199&lt;&gt;"Serviço",0,IF(AND(AUTOEVENTO="Manual",$M199=1),0,IF(OFFSET(CRONOPLE!$F$14,$M199,AO$13)="",10^12,OFFSET(CRONOPLE!$F$14,$M199,AO$13))))</f>
        <v>1</v>
      </c>
      <c r="AP199" s="216">
        <f ca="1">IF($D199&lt;&gt;"Serviço",0,IF(AND(AUTOEVENTO="Manual",$M199=1),0,IF(OFFSET(CRONOPLE!$F$14,$M199,AP$13)="",10^12,OFFSET(CRONOPLE!$F$14,$M199,AP$13))))</f>
        <v>1</v>
      </c>
      <c r="AQ199" s="216">
        <f ca="1">IF($D199&lt;&gt;"Serviço",0,IF(AND(AUTOEVENTO="Manual",$M199=1),0,IF(OFFSET(CRONOPLE!$F$14,$M199,AQ$13)="",10^12,OFFSET(CRONOPLE!$F$14,$M199,AQ$13))))</f>
        <v>2</v>
      </c>
      <c r="AR199" s="216">
        <f ca="1">IF($D199&lt;&gt;"Serviço",0,IF(AND(AUTOEVENTO="Manual",$M199=1),0,IF(OFFSET(CRONOPLE!$F$14,$M199,AR$13)="",10^12,OFFSET(CRONOPLE!$F$14,$M199,AR$13))))</f>
        <v>2</v>
      </c>
      <c r="AS199" s="216">
        <f ca="1">IF($D199&lt;&gt;"Serviço",0,IF(AND(AUTOEVENTO="Manual",$M199=1),0,IF(OFFSET(CRONOPLE!$F$14,$M199,AS$13)="",10^12,OFFSET(CRONOPLE!$F$14,$M199,AS$13))))</f>
        <v>2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hidden="1" x14ac:dyDescent="0.2">
      <c r="A200" s="9" t="str">
        <f t="shared" ca="1" si="18"/>
        <v>36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6</v>
      </c>
      <c r="N200" s="212" t="str">
        <f ca="1">IF($D200&lt;&gt;"Serviço","",IF(AUTOEVENTO="Manual",IF($A200=0,"&lt;-- defina o número do agrupador",OFFSET(EVENTOS!$D$14,$A200,0)),OFFSET($F$15,$A200,0)))</f>
        <v>ENSAIOS TECNOLÓGICOS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</v>
      </c>
      <c r="AN200" s="216">
        <f ca="1">IF($D200&lt;&gt;"Serviço",0,IF(AND(AUTOEVENTO="Manual",$M200=1),0,IF(OFFSET(CRONOPLE!$F$14,$M200,AN$13)="",10^12,OFFSET(CRONOPLE!$F$14,$M200,AN$13))))</f>
        <v>1</v>
      </c>
      <c r="AO200" s="216">
        <f ca="1">IF($D200&lt;&gt;"Serviço",0,IF(AND(AUTOEVENTO="Manual",$M200=1),0,IF(OFFSET(CRONOPLE!$F$14,$M200,AO$13)="",10^12,OFFSET(CRONOPLE!$F$14,$M200,AO$13))))</f>
        <v>1</v>
      </c>
      <c r="AP200" s="216">
        <f ca="1">IF($D200&lt;&gt;"Serviço",0,IF(AND(AUTOEVENTO="Manual",$M200=1),0,IF(OFFSET(CRONOPLE!$F$14,$M200,AP$13)="",10^12,OFFSET(CRONOPLE!$F$14,$M200,AP$13))))</f>
        <v>1</v>
      </c>
      <c r="AQ200" s="216">
        <f ca="1">IF($D200&lt;&gt;"Serviço",0,IF(AND(AUTOEVENTO="Manual",$M200=1),0,IF(OFFSET(CRONOPLE!$F$14,$M200,AQ$13)="",10^12,OFFSET(CRONOPLE!$F$14,$M200,AQ$13))))</f>
        <v>2</v>
      </c>
      <c r="AR200" s="216">
        <f ca="1">IF($D200&lt;&gt;"Serviço",0,IF(AND(AUTOEVENTO="Manual",$M200=1),0,IF(OFFSET(CRONOPLE!$F$14,$M200,AR$13)="",10^12,OFFSET(CRONOPLE!$F$14,$M200,AR$13))))</f>
        <v>2</v>
      </c>
      <c r="AS200" s="216">
        <f ca="1">IF($D200&lt;&gt;"Serviço",0,IF(AND(AUTOEVENTO="Manual",$M200=1),0,IF(OFFSET(CRONOPLE!$F$14,$M200,AS$13)="",10^12,OFFSET(CRONOPLE!$F$14,$M200,AS$13))))</f>
        <v>2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hidden="1" x14ac:dyDescent="0.2">
      <c r="A201" s="9" t="str">
        <f t="shared" ca="1" si="18"/>
        <v>36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6</v>
      </c>
      <c r="N201" s="212" t="str">
        <f ca="1">IF($D201&lt;&gt;"Serviço","",IF(AUTOEVENTO="Manual",IF($A201=0,"&lt;-- defina o número do agrupador",OFFSET(EVENTOS!$D$14,$A201,0)),OFFSET($F$15,$A201,0)))</f>
        <v>ENSAIOS TECNOLÓGICOS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</v>
      </c>
      <c r="AN201" s="216">
        <f ca="1">IF($D201&lt;&gt;"Serviço",0,IF(AND(AUTOEVENTO="Manual",$M201=1),0,IF(OFFSET(CRONOPLE!$F$14,$M201,AN$13)="",10^12,OFFSET(CRONOPLE!$F$14,$M201,AN$13))))</f>
        <v>1</v>
      </c>
      <c r="AO201" s="216">
        <f ca="1">IF($D201&lt;&gt;"Serviço",0,IF(AND(AUTOEVENTO="Manual",$M201=1),0,IF(OFFSET(CRONOPLE!$F$14,$M201,AO$13)="",10^12,OFFSET(CRONOPLE!$F$14,$M201,AO$13))))</f>
        <v>1</v>
      </c>
      <c r="AP201" s="216">
        <f ca="1">IF($D201&lt;&gt;"Serviço",0,IF(AND(AUTOEVENTO="Manual",$M201=1),0,IF(OFFSET(CRONOPLE!$F$14,$M201,AP$13)="",10^12,OFFSET(CRONOPLE!$F$14,$M201,AP$13))))</f>
        <v>1</v>
      </c>
      <c r="AQ201" s="216">
        <f ca="1">IF($D201&lt;&gt;"Serviço",0,IF(AND(AUTOEVENTO="Manual",$M201=1),0,IF(OFFSET(CRONOPLE!$F$14,$M201,AQ$13)="",10^12,OFFSET(CRONOPLE!$F$14,$M201,AQ$13))))</f>
        <v>2</v>
      </c>
      <c r="AR201" s="216">
        <f ca="1">IF($D201&lt;&gt;"Serviço",0,IF(AND(AUTOEVENTO="Manual",$M201=1),0,IF(OFFSET(CRONOPLE!$F$14,$M201,AR$13)="",10^12,OFFSET(CRONOPLE!$F$14,$M201,AR$13))))</f>
        <v>2</v>
      </c>
      <c r="AS201" s="216">
        <f ca="1">IF($D201&lt;&gt;"Serviço",0,IF(AND(AUTOEVENTO="Manual",$M201=1),0,IF(OFFSET(CRONOPLE!$F$14,$M201,AS$13)="",10^12,OFFSET(CRONOPLE!$F$14,$M201,AS$13))))</f>
        <v>2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hidden="1" x14ac:dyDescent="0.2">
      <c r="A202" s="9" t="str">
        <f t="shared" ca="1" si="18"/>
        <v>36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6</v>
      </c>
      <c r="N202" s="212" t="str">
        <f ca="1">IF($D202&lt;&gt;"Serviço","",IF(AUTOEVENTO="Manual",IF($A202=0,"&lt;-- defina o número do agrupador",OFFSET(EVENTOS!$D$14,$A202,0)),OFFSET($F$15,$A202,0)))</f>
        <v>ENSAIOS TECNOLÓGICOS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</v>
      </c>
      <c r="AN202" s="216">
        <f ca="1">IF($D202&lt;&gt;"Serviço",0,IF(AND(AUTOEVENTO="Manual",$M202=1),0,IF(OFFSET(CRONOPLE!$F$14,$M202,AN$13)="",10^12,OFFSET(CRONOPLE!$F$14,$M202,AN$13))))</f>
        <v>1</v>
      </c>
      <c r="AO202" s="216">
        <f ca="1">IF($D202&lt;&gt;"Serviço",0,IF(AND(AUTOEVENTO="Manual",$M202=1),0,IF(OFFSET(CRONOPLE!$F$14,$M202,AO$13)="",10^12,OFFSET(CRONOPLE!$F$14,$M202,AO$13))))</f>
        <v>1</v>
      </c>
      <c r="AP202" s="216">
        <f ca="1">IF($D202&lt;&gt;"Serviço",0,IF(AND(AUTOEVENTO="Manual",$M202=1),0,IF(OFFSET(CRONOPLE!$F$14,$M202,AP$13)="",10^12,OFFSET(CRONOPLE!$F$14,$M202,AP$13))))</f>
        <v>1</v>
      </c>
      <c r="AQ202" s="216">
        <f ca="1">IF($D202&lt;&gt;"Serviço",0,IF(AND(AUTOEVENTO="Manual",$M202=1),0,IF(OFFSET(CRONOPLE!$F$14,$M202,AQ$13)="",10^12,OFFSET(CRONOPLE!$F$14,$M202,AQ$13))))</f>
        <v>2</v>
      </c>
      <c r="AR202" s="216">
        <f ca="1">IF($D202&lt;&gt;"Serviço",0,IF(AND(AUTOEVENTO="Manual",$M202=1),0,IF(OFFSET(CRONOPLE!$F$14,$M202,AR$13)="",10^12,OFFSET(CRONOPLE!$F$14,$M202,AR$13))))</f>
        <v>2</v>
      </c>
      <c r="AS202" s="216">
        <f ca="1">IF($D202&lt;&gt;"Serviço",0,IF(AND(AUTOEVENTO="Manual",$M202=1),0,IF(OFFSET(CRONOPLE!$F$14,$M202,AS$13)="",10^12,OFFSET(CRONOPLE!$F$14,$M202,AS$13))))</f>
        <v>2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hidden="1" x14ac:dyDescent="0.2">
      <c r="A203" s="9" t="str">
        <f t="shared" ca="1" si="18"/>
        <v>36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6</v>
      </c>
      <c r="N203" s="212" t="str">
        <f ca="1">IF($D203&lt;&gt;"Serviço","",IF(AUTOEVENTO="Manual",IF($A203=0,"&lt;-- defina o número do agrupador",OFFSET(EVENTOS!$D$14,$A203,0)),OFFSET($F$15,$A203,0)))</f>
        <v>ENSAIOS TECNOLÓGICOS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</v>
      </c>
      <c r="AN203" s="216">
        <f ca="1">IF($D203&lt;&gt;"Serviço",0,IF(AND(AUTOEVENTO="Manual",$M203=1),0,IF(OFFSET(CRONOPLE!$F$14,$M203,AN$13)="",10^12,OFFSET(CRONOPLE!$F$14,$M203,AN$13))))</f>
        <v>1</v>
      </c>
      <c r="AO203" s="216">
        <f ca="1">IF($D203&lt;&gt;"Serviço",0,IF(AND(AUTOEVENTO="Manual",$M203=1),0,IF(OFFSET(CRONOPLE!$F$14,$M203,AO$13)="",10^12,OFFSET(CRONOPLE!$F$14,$M203,AO$13))))</f>
        <v>1</v>
      </c>
      <c r="AP203" s="216">
        <f ca="1">IF($D203&lt;&gt;"Serviço",0,IF(AND(AUTOEVENTO="Manual",$M203=1),0,IF(OFFSET(CRONOPLE!$F$14,$M203,AP$13)="",10^12,OFFSET(CRONOPLE!$F$14,$M203,AP$13))))</f>
        <v>1</v>
      </c>
      <c r="AQ203" s="216">
        <f ca="1">IF($D203&lt;&gt;"Serviço",0,IF(AND(AUTOEVENTO="Manual",$M203=1),0,IF(OFFSET(CRONOPLE!$F$14,$M203,AQ$13)="",10^12,OFFSET(CRONOPLE!$F$14,$M203,AQ$13))))</f>
        <v>2</v>
      </c>
      <c r="AR203" s="216">
        <f ca="1">IF($D203&lt;&gt;"Serviço",0,IF(AND(AUTOEVENTO="Manual",$M203=1),0,IF(OFFSET(CRONOPLE!$F$14,$M203,AR$13)="",10^12,OFFSET(CRONOPLE!$F$14,$M203,AR$13))))</f>
        <v>2</v>
      </c>
      <c r="AS203" s="216">
        <f ca="1">IF($D203&lt;&gt;"Serviço",0,IF(AND(AUTOEVENTO="Manual",$M203=1),0,IF(OFFSET(CRONOPLE!$F$14,$M203,AS$13)="",10^12,OFFSET(CRONOPLE!$F$14,$M203,AS$13))))</f>
        <v>2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hidden="1" x14ac:dyDescent="0.2">
      <c r="A204" s="9" t="str">
        <f t="shared" ca="1" si="18"/>
        <v>36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6</v>
      </c>
      <c r="N204" s="212" t="str">
        <f ca="1">IF($D204&lt;&gt;"Serviço","",IF(AUTOEVENTO="Manual",IF($A204=0,"&lt;-- defina o número do agrupador",OFFSET(EVENTOS!$D$14,$A204,0)),OFFSET($F$15,$A204,0)))</f>
        <v>ENSAIOS TECNOLÓGICOS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</v>
      </c>
      <c r="AN204" s="216">
        <f ca="1">IF($D204&lt;&gt;"Serviço",0,IF(AND(AUTOEVENTO="Manual",$M204=1),0,IF(OFFSET(CRONOPLE!$F$14,$M204,AN$13)="",10^12,OFFSET(CRONOPLE!$F$14,$M204,AN$13))))</f>
        <v>1</v>
      </c>
      <c r="AO204" s="216">
        <f ca="1">IF($D204&lt;&gt;"Serviço",0,IF(AND(AUTOEVENTO="Manual",$M204=1),0,IF(OFFSET(CRONOPLE!$F$14,$M204,AO$13)="",10^12,OFFSET(CRONOPLE!$F$14,$M204,AO$13))))</f>
        <v>1</v>
      </c>
      <c r="AP204" s="216">
        <f ca="1">IF($D204&lt;&gt;"Serviço",0,IF(AND(AUTOEVENTO="Manual",$M204=1),0,IF(OFFSET(CRONOPLE!$F$14,$M204,AP$13)="",10^12,OFFSET(CRONOPLE!$F$14,$M204,AP$13))))</f>
        <v>1</v>
      </c>
      <c r="AQ204" s="216">
        <f ca="1">IF($D204&lt;&gt;"Serviço",0,IF(AND(AUTOEVENTO="Manual",$M204=1),0,IF(OFFSET(CRONOPLE!$F$14,$M204,AQ$13)="",10^12,OFFSET(CRONOPLE!$F$14,$M204,AQ$13))))</f>
        <v>2</v>
      </c>
      <c r="AR204" s="216">
        <f ca="1">IF($D204&lt;&gt;"Serviço",0,IF(AND(AUTOEVENTO="Manual",$M204=1),0,IF(OFFSET(CRONOPLE!$F$14,$M204,AR$13)="",10^12,OFFSET(CRONOPLE!$F$14,$M204,AR$13))))</f>
        <v>2</v>
      </c>
      <c r="AS204" s="216">
        <f ca="1">IF($D204&lt;&gt;"Serviço",0,IF(AND(AUTOEVENTO="Manual",$M204=1),0,IF(OFFSET(CRONOPLE!$F$14,$M204,AS$13)="",10^12,OFFSET(CRONOPLE!$F$14,$M204,AS$13))))</f>
        <v>2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hidden="1" x14ac:dyDescent="0.2">
      <c r="A205" s="9" t="str">
        <f t="shared" ca="1" si="18"/>
        <v>36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6</v>
      </c>
      <c r="N205" s="212" t="str">
        <f ca="1">IF($D205&lt;&gt;"Serviço","",IF(AUTOEVENTO="Manual",IF($A205=0,"&lt;-- defina o número do agrupador",OFFSET(EVENTOS!$D$14,$A205,0)),OFFSET($F$15,$A205,0)))</f>
        <v>ENSAIOS TECNOLÓGICOS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</v>
      </c>
      <c r="AN205" s="216">
        <f ca="1">IF($D205&lt;&gt;"Serviço",0,IF(AND(AUTOEVENTO="Manual",$M205=1),0,IF(OFFSET(CRONOPLE!$F$14,$M205,AN$13)="",10^12,OFFSET(CRONOPLE!$F$14,$M205,AN$13))))</f>
        <v>1</v>
      </c>
      <c r="AO205" s="216">
        <f ca="1">IF($D205&lt;&gt;"Serviço",0,IF(AND(AUTOEVENTO="Manual",$M205=1),0,IF(OFFSET(CRONOPLE!$F$14,$M205,AO$13)="",10^12,OFFSET(CRONOPLE!$F$14,$M205,AO$13))))</f>
        <v>1</v>
      </c>
      <c r="AP205" s="216">
        <f ca="1">IF($D205&lt;&gt;"Serviço",0,IF(AND(AUTOEVENTO="Manual",$M205=1),0,IF(OFFSET(CRONOPLE!$F$14,$M205,AP$13)="",10^12,OFFSET(CRONOPLE!$F$14,$M205,AP$13))))</f>
        <v>1</v>
      </c>
      <c r="AQ205" s="216">
        <f ca="1">IF($D205&lt;&gt;"Serviço",0,IF(AND(AUTOEVENTO="Manual",$M205=1),0,IF(OFFSET(CRONOPLE!$F$14,$M205,AQ$13)="",10^12,OFFSET(CRONOPLE!$F$14,$M205,AQ$13))))</f>
        <v>2</v>
      </c>
      <c r="AR205" s="216">
        <f ca="1">IF($D205&lt;&gt;"Serviço",0,IF(AND(AUTOEVENTO="Manual",$M205=1),0,IF(OFFSET(CRONOPLE!$F$14,$M205,AR$13)="",10^12,OFFSET(CRONOPLE!$F$14,$M205,AR$13))))</f>
        <v>2</v>
      </c>
      <c r="AS205" s="216">
        <f ca="1">IF($D205&lt;&gt;"Serviço",0,IF(AND(AUTOEVENTO="Manual",$M205=1),0,IF(OFFSET(CRONOPLE!$F$14,$M205,AS$13)="",10^12,OFFSET(CRONOPLE!$F$14,$M205,AS$13))))</f>
        <v>2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hidden="1" x14ac:dyDescent="0.2">
      <c r="A206" s="9" t="str">
        <f t="shared" ca="1" si="18"/>
        <v>36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6</v>
      </c>
      <c r="N206" s="212" t="str">
        <f ca="1">IF($D206&lt;&gt;"Serviço","",IF(AUTOEVENTO="Manual",IF($A206=0,"&lt;-- defina o número do agrupador",OFFSET(EVENTOS!$D$14,$A206,0)),OFFSET($F$15,$A206,0)))</f>
        <v>ENSAIOS TECNOLÓGICOS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</v>
      </c>
      <c r="AN206" s="216">
        <f ca="1">IF($D206&lt;&gt;"Serviço",0,IF(AND(AUTOEVENTO="Manual",$M206=1),0,IF(OFFSET(CRONOPLE!$F$14,$M206,AN$13)="",10^12,OFFSET(CRONOPLE!$F$14,$M206,AN$13))))</f>
        <v>1</v>
      </c>
      <c r="AO206" s="216">
        <f ca="1">IF($D206&lt;&gt;"Serviço",0,IF(AND(AUTOEVENTO="Manual",$M206=1),0,IF(OFFSET(CRONOPLE!$F$14,$M206,AO$13)="",10^12,OFFSET(CRONOPLE!$F$14,$M206,AO$13))))</f>
        <v>1</v>
      </c>
      <c r="AP206" s="216">
        <f ca="1">IF($D206&lt;&gt;"Serviço",0,IF(AND(AUTOEVENTO="Manual",$M206=1),0,IF(OFFSET(CRONOPLE!$F$14,$M206,AP$13)="",10^12,OFFSET(CRONOPLE!$F$14,$M206,AP$13))))</f>
        <v>1</v>
      </c>
      <c r="AQ206" s="216">
        <f ca="1">IF($D206&lt;&gt;"Serviço",0,IF(AND(AUTOEVENTO="Manual",$M206=1),0,IF(OFFSET(CRONOPLE!$F$14,$M206,AQ$13)="",10^12,OFFSET(CRONOPLE!$F$14,$M206,AQ$13))))</f>
        <v>2</v>
      </c>
      <c r="AR206" s="216">
        <f ca="1">IF($D206&lt;&gt;"Serviço",0,IF(AND(AUTOEVENTO="Manual",$M206=1),0,IF(OFFSET(CRONOPLE!$F$14,$M206,AR$13)="",10^12,OFFSET(CRONOPLE!$F$14,$M206,AR$13))))</f>
        <v>2</v>
      </c>
      <c r="AS206" s="216">
        <f ca="1">IF($D206&lt;&gt;"Serviço",0,IF(AND(AUTOEVENTO="Manual",$M206=1),0,IF(OFFSET(CRONOPLE!$F$14,$M206,AS$13)="",10^12,OFFSET(CRONOPLE!$F$14,$M206,AS$13))))</f>
        <v>2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hidden="1" x14ac:dyDescent="0.2">
      <c r="A207" s="9" t="str">
        <f t="shared" ca="1" si="18"/>
        <v>36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6</v>
      </c>
      <c r="N207" s="212" t="str">
        <f ca="1">IF($D207&lt;&gt;"Serviço","",IF(AUTOEVENTO="Manual",IF($A207=0,"&lt;-- defina o número do agrupador",OFFSET(EVENTOS!$D$14,$A207,0)),OFFSET($F$15,$A207,0)))</f>
        <v>ENSAIOS TECNOLÓGICOS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</v>
      </c>
      <c r="AN207" s="216">
        <f ca="1">IF($D207&lt;&gt;"Serviço",0,IF(AND(AUTOEVENTO="Manual",$M207=1),0,IF(OFFSET(CRONOPLE!$F$14,$M207,AN$13)="",10^12,OFFSET(CRONOPLE!$F$14,$M207,AN$13))))</f>
        <v>1</v>
      </c>
      <c r="AO207" s="216">
        <f ca="1">IF($D207&lt;&gt;"Serviço",0,IF(AND(AUTOEVENTO="Manual",$M207=1),0,IF(OFFSET(CRONOPLE!$F$14,$M207,AO$13)="",10^12,OFFSET(CRONOPLE!$F$14,$M207,AO$13))))</f>
        <v>1</v>
      </c>
      <c r="AP207" s="216">
        <f ca="1">IF($D207&lt;&gt;"Serviço",0,IF(AND(AUTOEVENTO="Manual",$M207=1),0,IF(OFFSET(CRONOPLE!$F$14,$M207,AP$13)="",10^12,OFFSET(CRONOPLE!$F$14,$M207,AP$13))))</f>
        <v>1</v>
      </c>
      <c r="AQ207" s="216">
        <f ca="1">IF($D207&lt;&gt;"Serviço",0,IF(AND(AUTOEVENTO="Manual",$M207=1),0,IF(OFFSET(CRONOPLE!$F$14,$M207,AQ$13)="",10^12,OFFSET(CRONOPLE!$F$14,$M207,AQ$13))))</f>
        <v>2</v>
      </c>
      <c r="AR207" s="216">
        <f ca="1">IF($D207&lt;&gt;"Serviço",0,IF(AND(AUTOEVENTO="Manual",$M207=1),0,IF(OFFSET(CRONOPLE!$F$14,$M207,AR$13)="",10^12,OFFSET(CRONOPLE!$F$14,$M207,AR$13))))</f>
        <v>2</v>
      </c>
      <c r="AS207" s="216">
        <f ca="1">IF($D207&lt;&gt;"Serviço",0,IF(AND(AUTOEVENTO="Manual",$M207=1),0,IF(OFFSET(CRONOPLE!$F$14,$M207,AS$13)="",10^12,OFFSET(CRONOPLE!$F$14,$M207,AS$13))))</f>
        <v>2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hidden="1" x14ac:dyDescent="0.2">
      <c r="A208" s="9" t="str">
        <f t="shared" ref="A208:A265" ca="1" si="19">IF(AUTOEVENTO="Manual",IF(K208&lt;&gt;"",MIN(VALUE(LEFT(K208,FIND(".",K208)-1)),COUNTA(EVENTOS.Lista)),0),IF(OR($B208&gt;AUTOEVENTO,$B208="S",$B208=0),SUBSTITUTE(OFFSET($A208,-1,0),IF($D208="Serviço",".",""),""),ROW(A208)-ROW($A$15)&amp;"."))</f>
        <v>36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6</v>
      </c>
      <c r="N208" s="212" t="str">
        <f ca="1">IF($D208&lt;&gt;"Serviço","",IF(AUTOEVENTO="Manual",IF($A208=0,"&lt;-- defina o número do agrupador",OFFSET(EVENTOS!$D$14,$A208,0)),OFFSET($F$15,$A208,0)))</f>
        <v>ENSAIOS TECNOLÓGICOS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</v>
      </c>
      <c r="AN208" s="216">
        <f ca="1">IF($D208&lt;&gt;"Serviço",0,IF(AND(AUTOEVENTO="Manual",$M208=1),0,IF(OFFSET(CRONOPLE!$F$14,$M208,AN$13)="",10^12,OFFSET(CRONOPLE!$F$14,$M208,AN$13))))</f>
        <v>1</v>
      </c>
      <c r="AO208" s="216">
        <f ca="1">IF($D208&lt;&gt;"Serviço",0,IF(AND(AUTOEVENTO="Manual",$M208=1),0,IF(OFFSET(CRONOPLE!$F$14,$M208,AO$13)="",10^12,OFFSET(CRONOPLE!$F$14,$M208,AO$13))))</f>
        <v>1</v>
      </c>
      <c r="AP208" s="216">
        <f ca="1">IF($D208&lt;&gt;"Serviço",0,IF(AND(AUTOEVENTO="Manual",$M208=1),0,IF(OFFSET(CRONOPLE!$F$14,$M208,AP$13)="",10^12,OFFSET(CRONOPLE!$F$14,$M208,AP$13))))</f>
        <v>1</v>
      </c>
      <c r="AQ208" s="216">
        <f ca="1">IF($D208&lt;&gt;"Serviço",0,IF(AND(AUTOEVENTO="Manual",$M208=1),0,IF(OFFSET(CRONOPLE!$F$14,$M208,AQ$13)="",10^12,OFFSET(CRONOPLE!$F$14,$M208,AQ$13))))</f>
        <v>2</v>
      </c>
      <c r="AR208" s="216">
        <f ca="1">IF($D208&lt;&gt;"Serviço",0,IF(AND(AUTOEVENTO="Manual",$M208=1),0,IF(OFFSET(CRONOPLE!$F$14,$M208,AR$13)="",10^12,OFFSET(CRONOPLE!$F$14,$M208,AR$13))))</f>
        <v>2</v>
      </c>
      <c r="AS208" s="216">
        <f ca="1">IF($D208&lt;&gt;"Serviço",0,IF(AND(AUTOEVENTO="Manual",$M208=1),0,IF(OFFSET(CRONOPLE!$F$14,$M208,AS$13)="",10^12,OFFSET(CRONOPLE!$F$14,$M208,AS$13))))</f>
        <v>2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hidden="1" x14ac:dyDescent="0.2">
      <c r="A209" s="9" t="str">
        <f t="shared" ca="1" si="19"/>
        <v>36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6</v>
      </c>
      <c r="N209" s="212" t="str">
        <f ca="1">IF($D209&lt;&gt;"Serviço","",IF(AUTOEVENTO="Manual",IF($A209=0,"&lt;-- defina o número do agrupador",OFFSET(EVENTOS!$D$14,$A209,0)),OFFSET($F$15,$A209,0)))</f>
        <v>ENSAIOS TECNOLÓGICOS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</v>
      </c>
      <c r="AN209" s="216">
        <f ca="1">IF($D209&lt;&gt;"Serviço",0,IF(AND(AUTOEVENTO="Manual",$M209=1),0,IF(OFFSET(CRONOPLE!$F$14,$M209,AN$13)="",10^12,OFFSET(CRONOPLE!$F$14,$M209,AN$13))))</f>
        <v>1</v>
      </c>
      <c r="AO209" s="216">
        <f ca="1">IF($D209&lt;&gt;"Serviço",0,IF(AND(AUTOEVENTO="Manual",$M209=1),0,IF(OFFSET(CRONOPLE!$F$14,$M209,AO$13)="",10^12,OFFSET(CRONOPLE!$F$14,$M209,AO$13))))</f>
        <v>1</v>
      </c>
      <c r="AP209" s="216">
        <f ca="1">IF($D209&lt;&gt;"Serviço",0,IF(AND(AUTOEVENTO="Manual",$M209=1),0,IF(OFFSET(CRONOPLE!$F$14,$M209,AP$13)="",10^12,OFFSET(CRONOPLE!$F$14,$M209,AP$13))))</f>
        <v>1</v>
      </c>
      <c r="AQ209" s="216">
        <f ca="1">IF($D209&lt;&gt;"Serviço",0,IF(AND(AUTOEVENTO="Manual",$M209=1),0,IF(OFFSET(CRONOPLE!$F$14,$M209,AQ$13)="",10^12,OFFSET(CRONOPLE!$F$14,$M209,AQ$13))))</f>
        <v>2</v>
      </c>
      <c r="AR209" s="216">
        <f ca="1">IF($D209&lt;&gt;"Serviço",0,IF(AND(AUTOEVENTO="Manual",$M209=1),0,IF(OFFSET(CRONOPLE!$F$14,$M209,AR$13)="",10^12,OFFSET(CRONOPLE!$F$14,$M209,AR$13))))</f>
        <v>2</v>
      </c>
      <c r="AS209" s="216">
        <f ca="1">IF($D209&lt;&gt;"Serviço",0,IF(AND(AUTOEVENTO="Manual",$M209=1),0,IF(OFFSET(CRONOPLE!$F$14,$M209,AS$13)="",10^12,OFFSET(CRONOPLE!$F$14,$M209,AS$13))))</f>
        <v>2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hidden="1" x14ac:dyDescent="0.2">
      <c r="A210" s="9" t="str">
        <f t="shared" ca="1" si="19"/>
        <v>36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6</v>
      </c>
      <c r="N210" s="212" t="str">
        <f ca="1">IF($D210&lt;&gt;"Serviço","",IF(AUTOEVENTO="Manual",IF($A210=0,"&lt;-- defina o número do agrupador",OFFSET(EVENTOS!$D$14,$A210,0)),OFFSET($F$15,$A210,0)))</f>
        <v>ENSAIOS TECNOLÓGICOS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</v>
      </c>
      <c r="AN210" s="216">
        <f ca="1">IF($D210&lt;&gt;"Serviço",0,IF(AND(AUTOEVENTO="Manual",$M210=1),0,IF(OFFSET(CRONOPLE!$F$14,$M210,AN$13)="",10^12,OFFSET(CRONOPLE!$F$14,$M210,AN$13))))</f>
        <v>1</v>
      </c>
      <c r="AO210" s="216">
        <f ca="1">IF($D210&lt;&gt;"Serviço",0,IF(AND(AUTOEVENTO="Manual",$M210=1),0,IF(OFFSET(CRONOPLE!$F$14,$M210,AO$13)="",10^12,OFFSET(CRONOPLE!$F$14,$M210,AO$13))))</f>
        <v>1</v>
      </c>
      <c r="AP210" s="216">
        <f ca="1">IF($D210&lt;&gt;"Serviço",0,IF(AND(AUTOEVENTO="Manual",$M210=1),0,IF(OFFSET(CRONOPLE!$F$14,$M210,AP$13)="",10^12,OFFSET(CRONOPLE!$F$14,$M210,AP$13))))</f>
        <v>1</v>
      </c>
      <c r="AQ210" s="216">
        <f ca="1">IF($D210&lt;&gt;"Serviço",0,IF(AND(AUTOEVENTO="Manual",$M210=1),0,IF(OFFSET(CRONOPLE!$F$14,$M210,AQ$13)="",10^12,OFFSET(CRONOPLE!$F$14,$M210,AQ$13))))</f>
        <v>2</v>
      </c>
      <c r="AR210" s="216">
        <f ca="1">IF($D210&lt;&gt;"Serviço",0,IF(AND(AUTOEVENTO="Manual",$M210=1),0,IF(OFFSET(CRONOPLE!$F$14,$M210,AR$13)="",10^12,OFFSET(CRONOPLE!$F$14,$M210,AR$13))))</f>
        <v>2</v>
      </c>
      <c r="AS210" s="216">
        <f ca="1">IF($D210&lt;&gt;"Serviço",0,IF(AND(AUTOEVENTO="Manual",$M210=1),0,IF(OFFSET(CRONOPLE!$F$14,$M210,AS$13)="",10^12,OFFSET(CRONOPLE!$F$14,$M210,AS$13))))</f>
        <v>2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hidden="1" x14ac:dyDescent="0.2">
      <c r="A211" s="9" t="str">
        <f t="shared" ca="1" si="19"/>
        <v>36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6</v>
      </c>
      <c r="N211" s="212" t="str">
        <f ca="1">IF($D211&lt;&gt;"Serviço","",IF(AUTOEVENTO="Manual",IF($A211=0,"&lt;-- defina o número do agrupador",OFFSET(EVENTOS!$D$14,$A211,0)),OFFSET($F$15,$A211,0)))</f>
        <v>ENSAIOS TECNOLÓGICOS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</v>
      </c>
      <c r="AN211" s="216">
        <f ca="1">IF($D211&lt;&gt;"Serviço",0,IF(AND(AUTOEVENTO="Manual",$M211=1),0,IF(OFFSET(CRONOPLE!$F$14,$M211,AN$13)="",10^12,OFFSET(CRONOPLE!$F$14,$M211,AN$13))))</f>
        <v>1</v>
      </c>
      <c r="AO211" s="216">
        <f ca="1">IF($D211&lt;&gt;"Serviço",0,IF(AND(AUTOEVENTO="Manual",$M211=1),0,IF(OFFSET(CRONOPLE!$F$14,$M211,AO$13)="",10^12,OFFSET(CRONOPLE!$F$14,$M211,AO$13))))</f>
        <v>1</v>
      </c>
      <c r="AP211" s="216">
        <f ca="1">IF($D211&lt;&gt;"Serviço",0,IF(AND(AUTOEVENTO="Manual",$M211=1),0,IF(OFFSET(CRONOPLE!$F$14,$M211,AP$13)="",10^12,OFFSET(CRONOPLE!$F$14,$M211,AP$13))))</f>
        <v>1</v>
      </c>
      <c r="AQ211" s="216">
        <f ca="1">IF($D211&lt;&gt;"Serviço",0,IF(AND(AUTOEVENTO="Manual",$M211=1),0,IF(OFFSET(CRONOPLE!$F$14,$M211,AQ$13)="",10^12,OFFSET(CRONOPLE!$F$14,$M211,AQ$13))))</f>
        <v>2</v>
      </c>
      <c r="AR211" s="216">
        <f ca="1">IF($D211&lt;&gt;"Serviço",0,IF(AND(AUTOEVENTO="Manual",$M211=1),0,IF(OFFSET(CRONOPLE!$F$14,$M211,AR$13)="",10^12,OFFSET(CRONOPLE!$F$14,$M211,AR$13))))</f>
        <v>2</v>
      </c>
      <c r="AS211" s="216">
        <f ca="1">IF($D211&lt;&gt;"Serviço",0,IF(AND(AUTOEVENTO="Manual",$M211=1),0,IF(OFFSET(CRONOPLE!$F$14,$M211,AS$13)="",10^12,OFFSET(CRONOPLE!$F$14,$M211,AS$13))))</f>
        <v>2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hidden="1" x14ac:dyDescent="0.2">
      <c r="A212" s="9" t="str">
        <f t="shared" ca="1" si="19"/>
        <v>36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6</v>
      </c>
      <c r="N212" s="212" t="str">
        <f ca="1">IF($D212&lt;&gt;"Serviço","",IF(AUTOEVENTO="Manual",IF($A212=0,"&lt;-- defina o número do agrupador",OFFSET(EVENTOS!$D$14,$A212,0)),OFFSET($F$15,$A212,0)))</f>
        <v>ENSAIOS TECNOLÓGICOS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</v>
      </c>
      <c r="AN212" s="216">
        <f ca="1">IF($D212&lt;&gt;"Serviço",0,IF(AND(AUTOEVENTO="Manual",$M212=1),0,IF(OFFSET(CRONOPLE!$F$14,$M212,AN$13)="",10^12,OFFSET(CRONOPLE!$F$14,$M212,AN$13))))</f>
        <v>1</v>
      </c>
      <c r="AO212" s="216">
        <f ca="1">IF($D212&lt;&gt;"Serviço",0,IF(AND(AUTOEVENTO="Manual",$M212=1),0,IF(OFFSET(CRONOPLE!$F$14,$M212,AO$13)="",10^12,OFFSET(CRONOPLE!$F$14,$M212,AO$13))))</f>
        <v>1</v>
      </c>
      <c r="AP212" s="216">
        <f ca="1">IF($D212&lt;&gt;"Serviço",0,IF(AND(AUTOEVENTO="Manual",$M212=1),0,IF(OFFSET(CRONOPLE!$F$14,$M212,AP$13)="",10^12,OFFSET(CRONOPLE!$F$14,$M212,AP$13))))</f>
        <v>1</v>
      </c>
      <c r="AQ212" s="216">
        <f ca="1">IF($D212&lt;&gt;"Serviço",0,IF(AND(AUTOEVENTO="Manual",$M212=1),0,IF(OFFSET(CRONOPLE!$F$14,$M212,AQ$13)="",10^12,OFFSET(CRONOPLE!$F$14,$M212,AQ$13))))</f>
        <v>2</v>
      </c>
      <c r="AR212" s="216">
        <f ca="1">IF($D212&lt;&gt;"Serviço",0,IF(AND(AUTOEVENTO="Manual",$M212=1),0,IF(OFFSET(CRONOPLE!$F$14,$M212,AR$13)="",10^12,OFFSET(CRONOPLE!$F$14,$M212,AR$13))))</f>
        <v>2</v>
      </c>
      <c r="AS212" s="216">
        <f ca="1">IF($D212&lt;&gt;"Serviço",0,IF(AND(AUTOEVENTO="Manual",$M212=1),0,IF(OFFSET(CRONOPLE!$F$14,$M212,AS$13)="",10^12,OFFSET(CRONOPLE!$F$14,$M212,AS$13))))</f>
        <v>2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hidden="1" x14ac:dyDescent="0.2">
      <c r="A213" s="9" t="str">
        <f t="shared" ca="1" si="19"/>
        <v>36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6</v>
      </c>
      <c r="N213" s="212" t="str">
        <f ca="1">IF($D213&lt;&gt;"Serviço","",IF(AUTOEVENTO="Manual",IF($A213=0,"&lt;-- defina o número do agrupador",OFFSET(EVENTOS!$D$14,$A213,0)),OFFSET($F$15,$A213,0)))</f>
        <v>ENSAIOS TECNOLÓGICOS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</v>
      </c>
      <c r="AN213" s="216">
        <f ca="1">IF($D213&lt;&gt;"Serviço",0,IF(AND(AUTOEVENTO="Manual",$M213=1),0,IF(OFFSET(CRONOPLE!$F$14,$M213,AN$13)="",10^12,OFFSET(CRONOPLE!$F$14,$M213,AN$13))))</f>
        <v>1</v>
      </c>
      <c r="AO213" s="216">
        <f ca="1">IF($D213&lt;&gt;"Serviço",0,IF(AND(AUTOEVENTO="Manual",$M213=1),0,IF(OFFSET(CRONOPLE!$F$14,$M213,AO$13)="",10^12,OFFSET(CRONOPLE!$F$14,$M213,AO$13))))</f>
        <v>1</v>
      </c>
      <c r="AP213" s="216">
        <f ca="1">IF($D213&lt;&gt;"Serviço",0,IF(AND(AUTOEVENTO="Manual",$M213=1),0,IF(OFFSET(CRONOPLE!$F$14,$M213,AP$13)="",10^12,OFFSET(CRONOPLE!$F$14,$M213,AP$13))))</f>
        <v>1</v>
      </c>
      <c r="AQ213" s="216">
        <f ca="1">IF($D213&lt;&gt;"Serviço",0,IF(AND(AUTOEVENTO="Manual",$M213=1),0,IF(OFFSET(CRONOPLE!$F$14,$M213,AQ$13)="",10^12,OFFSET(CRONOPLE!$F$14,$M213,AQ$13))))</f>
        <v>2</v>
      </c>
      <c r="AR213" s="216">
        <f ca="1">IF($D213&lt;&gt;"Serviço",0,IF(AND(AUTOEVENTO="Manual",$M213=1),0,IF(OFFSET(CRONOPLE!$F$14,$M213,AR$13)="",10^12,OFFSET(CRONOPLE!$F$14,$M213,AR$13))))</f>
        <v>2</v>
      </c>
      <c r="AS213" s="216">
        <f ca="1">IF($D213&lt;&gt;"Serviço",0,IF(AND(AUTOEVENTO="Manual",$M213=1),0,IF(OFFSET(CRONOPLE!$F$14,$M213,AS$13)="",10^12,OFFSET(CRONOPLE!$F$14,$M213,AS$13))))</f>
        <v>2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hidden="1" x14ac:dyDescent="0.2">
      <c r="A214" s="9" t="str">
        <f t="shared" ca="1" si="19"/>
        <v>36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6</v>
      </c>
      <c r="N214" s="212" t="str">
        <f ca="1">IF($D214&lt;&gt;"Serviço","",IF(AUTOEVENTO="Manual",IF($A214=0,"&lt;-- defina o número do agrupador",OFFSET(EVENTOS!$D$14,$A214,0)),OFFSET($F$15,$A214,0)))</f>
        <v>ENSAIOS TECNOLÓGICOS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</v>
      </c>
      <c r="AN214" s="216">
        <f ca="1">IF($D214&lt;&gt;"Serviço",0,IF(AND(AUTOEVENTO="Manual",$M214=1),0,IF(OFFSET(CRONOPLE!$F$14,$M214,AN$13)="",10^12,OFFSET(CRONOPLE!$F$14,$M214,AN$13))))</f>
        <v>1</v>
      </c>
      <c r="AO214" s="216">
        <f ca="1">IF($D214&lt;&gt;"Serviço",0,IF(AND(AUTOEVENTO="Manual",$M214=1),0,IF(OFFSET(CRONOPLE!$F$14,$M214,AO$13)="",10^12,OFFSET(CRONOPLE!$F$14,$M214,AO$13))))</f>
        <v>1</v>
      </c>
      <c r="AP214" s="216">
        <f ca="1">IF($D214&lt;&gt;"Serviço",0,IF(AND(AUTOEVENTO="Manual",$M214=1),0,IF(OFFSET(CRONOPLE!$F$14,$M214,AP$13)="",10^12,OFFSET(CRONOPLE!$F$14,$M214,AP$13))))</f>
        <v>1</v>
      </c>
      <c r="AQ214" s="216">
        <f ca="1">IF($D214&lt;&gt;"Serviço",0,IF(AND(AUTOEVENTO="Manual",$M214=1),0,IF(OFFSET(CRONOPLE!$F$14,$M214,AQ$13)="",10^12,OFFSET(CRONOPLE!$F$14,$M214,AQ$13))))</f>
        <v>2</v>
      </c>
      <c r="AR214" s="216">
        <f ca="1">IF($D214&lt;&gt;"Serviço",0,IF(AND(AUTOEVENTO="Manual",$M214=1),0,IF(OFFSET(CRONOPLE!$F$14,$M214,AR$13)="",10^12,OFFSET(CRONOPLE!$F$14,$M214,AR$13))))</f>
        <v>2</v>
      </c>
      <c r="AS214" s="216">
        <f ca="1">IF($D214&lt;&gt;"Serviço",0,IF(AND(AUTOEVENTO="Manual",$M214=1),0,IF(OFFSET(CRONOPLE!$F$14,$M214,AS$13)="",10^12,OFFSET(CRONOPLE!$F$14,$M214,AS$13))))</f>
        <v>2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hidden="1" x14ac:dyDescent="0.2">
      <c r="A215" s="9" t="str">
        <f t="shared" ca="1" si="19"/>
        <v>36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6</v>
      </c>
      <c r="N215" s="212" t="str">
        <f ca="1">IF($D215&lt;&gt;"Serviço","",IF(AUTOEVENTO="Manual",IF($A215=0,"&lt;-- defina o número do agrupador",OFFSET(EVENTOS!$D$14,$A215,0)),OFFSET($F$15,$A215,0)))</f>
        <v>ENSAIOS TECNOLÓGICOS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</v>
      </c>
      <c r="AN215" s="216">
        <f ca="1">IF($D215&lt;&gt;"Serviço",0,IF(AND(AUTOEVENTO="Manual",$M215=1),0,IF(OFFSET(CRONOPLE!$F$14,$M215,AN$13)="",10^12,OFFSET(CRONOPLE!$F$14,$M215,AN$13))))</f>
        <v>1</v>
      </c>
      <c r="AO215" s="216">
        <f ca="1">IF($D215&lt;&gt;"Serviço",0,IF(AND(AUTOEVENTO="Manual",$M215=1),0,IF(OFFSET(CRONOPLE!$F$14,$M215,AO$13)="",10^12,OFFSET(CRONOPLE!$F$14,$M215,AO$13))))</f>
        <v>1</v>
      </c>
      <c r="AP215" s="216">
        <f ca="1">IF($D215&lt;&gt;"Serviço",0,IF(AND(AUTOEVENTO="Manual",$M215=1),0,IF(OFFSET(CRONOPLE!$F$14,$M215,AP$13)="",10^12,OFFSET(CRONOPLE!$F$14,$M215,AP$13))))</f>
        <v>1</v>
      </c>
      <c r="AQ215" s="216">
        <f ca="1">IF($D215&lt;&gt;"Serviço",0,IF(AND(AUTOEVENTO="Manual",$M215=1),0,IF(OFFSET(CRONOPLE!$F$14,$M215,AQ$13)="",10^12,OFFSET(CRONOPLE!$F$14,$M215,AQ$13))))</f>
        <v>2</v>
      </c>
      <c r="AR215" s="216">
        <f ca="1">IF($D215&lt;&gt;"Serviço",0,IF(AND(AUTOEVENTO="Manual",$M215=1),0,IF(OFFSET(CRONOPLE!$F$14,$M215,AR$13)="",10^12,OFFSET(CRONOPLE!$F$14,$M215,AR$13))))</f>
        <v>2</v>
      </c>
      <c r="AS215" s="216">
        <f ca="1">IF($D215&lt;&gt;"Serviço",0,IF(AND(AUTOEVENTO="Manual",$M215=1),0,IF(OFFSET(CRONOPLE!$F$14,$M215,AS$13)="",10^12,OFFSET(CRONOPLE!$F$14,$M215,AS$13))))</f>
        <v>2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hidden="1" x14ac:dyDescent="0.2">
      <c r="A216" s="9" t="str">
        <f t="shared" ca="1" si="19"/>
        <v>36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6</v>
      </c>
      <c r="N216" s="212" t="str">
        <f ca="1">IF($D216&lt;&gt;"Serviço","",IF(AUTOEVENTO="Manual",IF($A216=0,"&lt;-- defina o número do agrupador",OFFSET(EVENTOS!$D$14,$A216,0)),OFFSET($F$15,$A216,0)))</f>
        <v>ENSAIOS TECNOLÓGICOS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</v>
      </c>
      <c r="AN216" s="216">
        <f ca="1">IF($D216&lt;&gt;"Serviço",0,IF(AND(AUTOEVENTO="Manual",$M216=1),0,IF(OFFSET(CRONOPLE!$F$14,$M216,AN$13)="",10^12,OFFSET(CRONOPLE!$F$14,$M216,AN$13))))</f>
        <v>1</v>
      </c>
      <c r="AO216" s="216">
        <f ca="1">IF($D216&lt;&gt;"Serviço",0,IF(AND(AUTOEVENTO="Manual",$M216=1),0,IF(OFFSET(CRONOPLE!$F$14,$M216,AO$13)="",10^12,OFFSET(CRONOPLE!$F$14,$M216,AO$13))))</f>
        <v>1</v>
      </c>
      <c r="AP216" s="216">
        <f ca="1">IF($D216&lt;&gt;"Serviço",0,IF(AND(AUTOEVENTO="Manual",$M216=1),0,IF(OFFSET(CRONOPLE!$F$14,$M216,AP$13)="",10^12,OFFSET(CRONOPLE!$F$14,$M216,AP$13))))</f>
        <v>1</v>
      </c>
      <c r="AQ216" s="216">
        <f ca="1">IF($D216&lt;&gt;"Serviço",0,IF(AND(AUTOEVENTO="Manual",$M216=1),0,IF(OFFSET(CRONOPLE!$F$14,$M216,AQ$13)="",10^12,OFFSET(CRONOPLE!$F$14,$M216,AQ$13))))</f>
        <v>2</v>
      </c>
      <c r="AR216" s="216">
        <f ca="1">IF($D216&lt;&gt;"Serviço",0,IF(AND(AUTOEVENTO="Manual",$M216=1),0,IF(OFFSET(CRONOPLE!$F$14,$M216,AR$13)="",10^12,OFFSET(CRONOPLE!$F$14,$M216,AR$13))))</f>
        <v>2</v>
      </c>
      <c r="AS216" s="216">
        <f ca="1">IF($D216&lt;&gt;"Serviço",0,IF(AND(AUTOEVENTO="Manual",$M216=1),0,IF(OFFSET(CRONOPLE!$F$14,$M216,AS$13)="",10^12,OFFSET(CRONOPLE!$F$14,$M216,AS$13))))</f>
        <v>2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hidden="1" x14ac:dyDescent="0.2">
      <c r="A217" s="9" t="str">
        <f t="shared" ca="1" si="19"/>
        <v>36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6</v>
      </c>
      <c r="N217" s="212" t="str">
        <f ca="1">IF($D217&lt;&gt;"Serviço","",IF(AUTOEVENTO="Manual",IF($A217=0,"&lt;-- defina o número do agrupador",OFFSET(EVENTOS!$D$14,$A217,0)),OFFSET($F$15,$A217,0)))</f>
        <v>ENSAIOS TECNOLÓGICOS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</v>
      </c>
      <c r="AN217" s="216">
        <f ca="1">IF($D217&lt;&gt;"Serviço",0,IF(AND(AUTOEVENTO="Manual",$M217=1),0,IF(OFFSET(CRONOPLE!$F$14,$M217,AN$13)="",10^12,OFFSET(CRONOPLE!$F$14,$M217,AN$13))))</f>
        <v>1</v>
      </c>
      <c r="AO217" s="216">
        <f ca="1">IF($D217&lt;&gt;"Serviço",0,IF(AND(AUTOEVENTO="Manual",$M217=1),0,IF(OFFSET(CRONOPLE!$F$14,$M217,AO$13)="",10^12,OFFSET(CRONOPLE!$F$14,$M217,AO$13))))</f>
        <v>1</v>
      </c>
      <c r="AP217" s="216">
        <f ca="1">IF($D217&lt;&gt;"Serviço",0,IF(AND(AUTOEVENTO="Manual",$M217=1),0,IF(OFFSET(CRONOPLE!$F$14,$M217,AP$13)="",10^12,OFFSET(CRONOPLE!$F$14,$M217,AP$13))))</f>
        <v>1</v>
      </c>
      <c r="AQ217" s="216">
        <f ca="1">IF($D217&lt;&gt;"Serviço",0,IF(AND(AUTOEVENTO="Manual",$M217=1),0,IF(OFFSET(CRONOPLE!$F$14,$M217,AQ$13)="",10^12,OFFSET(CRONOPLE!$F$14,$M217,AQ$13))))</f>
        <v>2</v>
      </c>
      <c r="AR217" s="216">
        <f ca="1">IF($D217&lt;&gt;"Serviço",0,IF(AND(AUTOEVENTO="Manual",$M217=1),0,IF(OFFSET(CRONOPLE!$F$14,$M217,AR$13)="",10^12,OFFSET(CRONOPLE!$F$14,$M217,AR$13))))</f>
        <v>2</v>
      </c>
      <c r="AS217" s="216">
        <f ca="1">IF($D217&lt;&gt;"Serviço",0,IF(AND(AUTOEVENTO="Manual",$M217=1),0,IF(OFFSET(CRONOPLE!$F$14,$M217,AS$13)="",10^12,OFFSET(CRONOPLE!$F$14,$M217,AS$13))))</f>
        <v>2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hidden="1" x14ac:dyDescent="0.2">
      <c r="A218" s="9" t="str">
        <f t="shared" ca="1" si="19"/>
        <v>36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6</v>
      </c>
      <c r="N218" s="212" t="str">
        <f ca="1">IF($D218&lt;&gt;"Serviço","",IF(AUTOEVENTO="Manual",IF($A218=0,"&lt;-- defina o número do agrupador",OFFSET(EVENTOS!$D$14,$A218,0)),OFFSET($F$15,$A218,0)))</f>
        <v>ENSAIOS TECNOLÓGICOS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</v>
      </c>
      <c r="AN218" s="216">
        <f ca="1">IF($D218&lt;&gt;"Serviço",0,IF(AND(AUTOEVENTO="Manual",$M218=1),0,IF(OFFSET(CRONOPLE!$F$14,$M218,AN$13)="",10^12,OFFSET(CRONOPLE!$F$14,$M218,AN$13))))</f>
        <v>1</v>
      </c>
      <c r="AO218" s="216">
        <f ca="1">IF($D218&lt;&gt;"Serviço",0,IF(AND(AUTOEVENTO="Manual",$M218=1),0,IF(OFFSET(CRONOPLE!$F$14,$M218,AO$13)="",10^12,OFFSET(CRONOPLE!$F$14,$M218,AO$13))))</f>
        <v>1</v>
      </c>
      <c r="AP218" s="216">
        <f ca="1">IF($D218&lt;&gt;"Serviço",0,IF(AND(AUTOEVENTO="Manual",$M218=1),0,IF(OFFSET(CRONOPLE!$F$14,$M218,AP$13)="",10^12,OFFSET(CRONOPLE!$F$14,$M218,AP$13))))</f>
        <v>1</v>
      </c>
      <c r="AQ218" s="216">
        <f ca="1">IF($D218&lt;&gt;"Serviço",0,IF(AND(AUTOEVENTO="Manual",$M218=1),0,IF(OFFSET(CRONOPLE!$F$14,$M218,AQ$13)="",10^12,OFFSET(CRONOPLE!$F$14,$M218,AQ$13))))</f>
        <v>2</v>
      </c>
      <c r="AR218" s="216">
        <f ca="1">IF($D218&lt;&gt;"Serviço",0,IF(AND(AUTOEVENTO="Manual",$M218=1),0,IF(OFFSET(CRONOPLE!$F$14,$M218,AR$13)="",10^12,OFFSET(CRONOPLE!$F$14,$M218,AR$13))))</f>
        <v>2</v>
      </c>
      <c r="AS218" s="216">
        <f ca="1">IF($D218&lt;&gt;"Serviço",0,IF(AND(AUTOEVENTO="Manual",$M218=1),0,IF(OFFSET(CRONOPLE!$F$14,$M218,AS$13)="",10^12,OFFSET(CRONOPLE!$F$14,$M218,AS$13))))</f>
        <v>2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hidden="1" x14ac:dyDescent="0.2">
      <c r="A219" s="9" t="str">
        <f t="shared" ca="1" si="19"/>
        <v>36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6</v>
      </c>
      <c r="N219" s="212" t="str">
        <f ca="1">IF($D219&lt;&gt;"Serviço","",IF(AUTOEVENTO="Manual",IF($A219=0,"&lt;-- defina o número do agrupador",OFFSET(EVENTOS!$D$14,$A219,0)),OFFSET($F$15,$A219,0)))</f>
        <v>ENSAIOS TECNOLÓGICOS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</v>
      </c>
      <c r="AN219" s="216">
        <f ca="1">IF($D219&lt;&gt;"Serviço",0,IF(AND(AUTOEVENTO="Manual",$M219=1),0,IF(OFFSET(CRONOPLE!$F$14,$M219,AN$13)="",10^12,OFFSET(CRONOPLE!$F$14,$M219,AN$13))))</f>
        <v>1</v>
      </c>
      <c r="AO219" s="216">
        <f ca="1">IF($D219&lt;&gt;"Serviço",0,IF(AND(AUTOEVENTO="Manual",$M219=1),0,IF(OFFSET(CRONOPLE!$F$14,$M219,AO$13)="",10^12,OFFSET(CRONOPLE!$F$14,$M219,AO$13))))</f>
        <v>1</v>
      </c>
      <c r="AP219" s="216">
        <f ca="1">IF($D219&lt;&gt;"Serviço",0,IF(AND(AUTOEVENTO="Manual",$M219=1),0,IF(OFFSET(CRONOPLE!$F$14,$M219,AP$13)="",10^12,OFFSET(CRONOPLE!$F$14,$M219,AP$13))))</f>
        <v>1</v>
      </c>
      <c r="AQ219" s="216">
        <f ca="1">IF($D219&lt;&gt;"Serviço",0,IF(AND(AUTOEVENTO="Manual",$M219=1),0,IF(OFFSET(CRONOPLE!$F$14,$M219,AQ$13)="",10^12,OFFSET(CRONOPLE!$F$14,$M219,AQ$13))))</f>
        <v>2</v>
      </c>
      <c r="AR219" s="216">
        <f ca="1">IF($D219&lt;&gt;"Serviço",0,IF(AND(AUTOEVENTO="Manual",$M219=1),0,IF(OFFSET(CRONOPLE!$F$14,$M219,AR$13)="",10^12,OFFSET(CRONOPLE!$F$14,$M219,AR$13))))</f>
        <v>2</v>
      </c>
      <c r="AS219" s="216">
        <f ca="1">IF($D219&lt;&gt;"Serviço",0,IF(AND(AUTOEVENTO="Manual",$M219=1),0,IF(OFFSET(CRONOPLE!$F$14,$M219,AS$13)="",10^12,OFFSET(CRONOPLE!$F$14,$M219,AS$13))))</f>
        <v>2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hidden="1" x14ac:dyDescent="0.2">
      <c r="A220" s="9" t="str">
        <f t="shared" ca="1" si="19"/>
        <v>36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6</v>
      </c>
      <c r="N220" s="212" t="str">
        <f ca="1">IF($D220&lt;&gt;"Serviço","",IF(AUTOEVENTO="Manual",IF($A220=0,"&lt;-- defina o número do agrupador",OFFSET(EVENTOS!$D$14,$A220,0)),OFFSET($F$15,$A220,0)))</f>
        <v>ENSAIOS TECNOLÓGICOS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</v>
      </c>
      <c r="AN220" s="216">
        <f ca="1">IF($D220&lt;&gt;"Serviço",0,IF(AND(AUTOEVENTO="Manual",$M220=1),0,IF(OFFSET(CRONOPLE!$F$14,$M220,AN$13)="",10^12,OFFSET(CRONOPLE!$F$14,$M220,AN$13))))</f>
        <v>1</v>
      </c>
      <c r="AO220" s="216">
        <f ca="1">IF($D220&lt;&gt;"Serviço",0,IF(AND(AUTOEVENTO="Manual",$M220=1),0,IF(OFFSET(CRONOPLE!$F$14,$M220,AO$13)="",10^12,OFFSET(CRONOPLE!$F$14,$M220,AO$13))))</f>
        <v>1</v>
      </c>
      <c r="AP220" s="216">
        <f ca="1">IF($D220&lt;&gt;"Serviço",0,IF(AND(AUTOEVENTO="Manual",$M220=1),0,IF(OFFSET(CRONOPLE!$F$14,$M220,AP$13)="",10^12,OFFSET(CRONOPLE!$F$14,$M220,AP$13))))</f>
        <v>1</v>
      </c>
      <c r="AQ220" s="216">
        <f ca="1">IF($D220&lt;&gt;"Serviço",0,IF(AND(AUTOEVENTO="Manual",$M220=1),0,IF(OFFSET(CRONOPLE!$F$14,$M220,AQ$13)="",10^12,OFFSET(CRONOPLE!$F$14,$M220,AQ$13))))</f>
        <v>2</v>
      </c>
      <c r="AR220" s="216">
        <f ca="1">IF($D220&lt;&gt;"Serviço",0,IF(AND(AUTOEVENTO="Manual",$M220=1),0,IF(OFFSET(CRONOPLE!$F$14,$M220,AR$13)="",10^12,OFFSET(CRONOPLE!$F$14,$M220,AR$13))))</f>
        <v>2</v>
      </c>
      <c r="AS220" s="216">
        <f ca="1">IF($D220&lt;&gt;"Serviço",0,IF(AND(AUTOEVENTO="Manual",$M220=1),0,IF(OFFSET(CRONOPLE!$F$14,$M220,AS$13)="",10^12,OFFSET(CRONOPLE!$F$14,$M220,AS$13))))</f>
        <v>2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hidden="1" x14ac:dyDescent="0.2">
      <c r="A221" s="9" t="str">
        <f t="shared" ca="1" si="19"/>
        <v>36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6</v>
      </c>
      <c r="N221" s="212" t="str">
        <f ca="1">IF($D221&lt;&gt;"Serviço","",IF(AUTOEVENTO="Manual",IF($A221=0,"&lt;-- defina o número do agrupador",OFFSET(EVENTOS!$D$14,$A221,0)),OFFSET($F$15,$A221,0)))</f>
        <v>ENSAIOS TECNOLÓGICOS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</v>
      </c>
      <c r="AN221" s="216">
        <f ca="1">IF($D221&lt;&gt;"Serviço",0,IF(AND(AUTOEVENTO="Manual",$M221=1),0,IF(OFFSET(CRONOPLE!$F$14,$M221,AN$13)="",10^12,OFFSET(CRONOPLE!$F$14,$M221,AN$13))))</f>
        <v>1</v>
      </c>
      <c r="AO221" s="216">
        <f ca="1">IF($D221&lt;&gt;"Serviço",0,IF(AND(AUTOEVENTO="Manual",$M221=1),0,IF(OFFSET(CRONOPLE!$F$14,$M221,AO$13)="",10^12,OFFSET(CRONOPLE!$F$14,$M221,AO$13))))</f>
        <v>1</v>
      </c>
      <c r="AP221" s="216">
        <f ca="1">IF($D221&lt;&gt;"Serviço",0,IF(AND(AUTOEVENTO="Manual",$M221=1),0,IF(OFFSET(CRONOPLE!$F$14,$M221,AP$13)="",10^12,OFFSET(CRONOPLE!$F$14,$M221,AP$13))))</f>
        <v>1</v>
      </c>
      <c r="AQ221" s="216">
        <f ca="1">IF($D221&lt;&gt;"Serviço",0,IF(AND(AUTOEVENTO="Manual",$M221=1),0,IF(OFFSET(CRONOPLE!$F$14,$M221,AQ$13)="",10^12,OFFSET(CRONOPLE!$F$14,$M221,AQ$13))))</f>
        <v>2</v>
      </c>
      <c r="AR221" s="216">
        <f ca="1">IF($D221&lt;&gt;"Serviço",0,IF(AND(AUTOEVENTO="Manual",$M221=1),0,IF(OFFSET(CRONOPLE!$F$14,$M221,AR$13)="",10^12,OFFSET(CRONOPLE!$F$14,$M221,AR$13))))</f>
        <v>2</v>
      </c>
      <c r="AS221" s="216">
        <f ca="1">IF($D221&lt;&gt;"Serviço",0,IF(AND(AUTOEVENTO="Manual",$M221=1),0,IF(OFFSET(CRONOPLE!$F$14,$M221,AS$13)="",10^12,OFFSET(CRONOPLE!$F$14,$M221,AS$13))))</f>
        <v>2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hidden="1" x14ac:dyDescent="0.2">
      <c r="A222" s="9" t="str">
        <f t="shared" ca="1" si="19"/>
        <v>36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6</v>
      </c>
      <c r="N222" s="212" t="str">
        <f ca="1">IF($D222&lt;&gt;"Serviço","",IF(AUTOEVENTO="Manual",IF($A222=0,"&lt;-- defina o número do agrupador",OFFSET(EVENTOS!$D$14,$A222,0)),OFFSET($F$15,$A222,0)))</f>
        <v>ENSAIOS TECNOLÓGICOS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</v>
      </c>
      <c r="AN222" s="216">
        <f ca="1">IF($D222&lt;&gt;"Serviço",0,IF(AND(AUTOEVENTO="Manual",$M222=1),0,IF(OFFSET(CRONOPLE!$F$14,$M222,AN$13)="",10^12,OFFSET(CRONOPLE!$F$14,$M222,AN$13))))</f>
        <v>1</v>
      </c>
      <c r="AO222" s="216">
        <f ca="1">IF($D222&lt;&gt;"Serviço",0,IF(AND(AUTOEVENTO="Manual",$M222=1),0,IF(OFFSET(CRONOPLE!$F$14,$M222,AO$13)="",10^12,OFFSET(CRONOPLE!$F$14,$M222,AO$13))))</f>
        <v>1</v>
      </c>
      <c r="AP222" s="216">
        <f ca="1">IF($D222&lt;&gt;"Serviço",0,IF(AND(AUTOEVENTO="Manual",$M222=1),0,IF(OFFSET(CRONOPLE!$F$14,$M222,AP$13)="",10^12,OFFSET(CRONOPLE!$F$14,$M222,AP$13))))</f>
        <v>1</v>
      </c>
      <c r="AQ222" s="216">
        <f ca="1">IF($D222&lt;&gt;"Serviço",0,IF(AND(AUTOEVENTO="Manual",$M222=1),0,IF(OFFSET(CRONOPLE!$F$14,$M222,AQ$13)="",10^12,OFFSET(CRONOPLE!$F$14,$M222,AQ$13))))</f>
        <v>2</v>
      </c>
      <c r="AR222" s="216">
        <f ca="1">IF($D222&lt;&gt;"Serviço",0,IF(AND(AUTOEVENTO="Manual",$M222=1),0,IF(OFFSET(CRONOPLE!$F$14,$M222,AR$13)="",10^12,OFFSET(CRONOPLE!$F$14,$M222,AR$13))))</f>
        <v>2</v>
      </c>
      <c r="AS222" s="216">
        <f ca="1">IF($D222&lt;&gt;"Serviço",0,IF(AND(AUTOEVENTO="Manual",$M222=1),0,IF(OFFSET(CRONOPLE!$F$14,$M222,AS$13)="",10^12,OFFSET(CRONOPLE!$F$14,$M222,AS$13))))</f>
        <v>2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hidden="1" x14ac:dyDescent="0.2">
      <c r="A223" s="9" t="str">
        <f t="shared" ca="1" si="19"/>
        <v>36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6</v>
      </c>
      <c r="N223" s="212" t="str">
        <f ca="1">IF($D223&lt;&gt;"Serviço","",IF(AUTOEVENTO="Manual",IF($A223=0,"&lt;-- defina o número do agrupador",OFFSET(EVENTOS!$D$14,$A223,0)),OFFSET($F$15,$A223,0)))</f>
        <v>ENSAIOS TECNOLÓGICOS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</v>
      </c>
      <c r="AN223" s="216">
        <f ca="1">IF($D223&lt;&gt;"Serviço",0,IF(AND(AUTOEVENTO="Manual",$M223=1),0,IF(OFFSET(CRONOPLE!$F$14,$M223,AN$13)="",10^12,OFFSET(CRONOPLE!$F$14,$M223,AN$13))))</f>
        <v>1</v>
      </c>
      <c r="AO223" s="216">
        <f ca="1">IF($D223&lt;&gt;"Serviço",0,IF(AND(AUTOEVENTO="Manual",$M223=1),0,IF(OFFSET(CRONOPLE!$F$14,$M223,AO$13)="",10^12,OFFSET(CRONOPLE!$F$14,$M223,AO$13))))</f>
        <v>1</v>
      </c>
      <c r="AP223" s="216">
        <f ca="1">IF($D223&lt;&gt;"Serviço",0,IF(AND(AUTOEVENTO="Manual",$M223=1),0,IF(OFFSET(CRONOPLE!$F$14,$M223,AP$13)="",10^12,OFFSET(CRONOPLE!$F$14,$M223,AP$13))))</f>
        <v>1</v>
      </c>
      <c r="AQ223" s="216">
        <f ca="1">IF($D223&lt;&gt;"Serviço",0,IF(AND(AUTOEVENTO="Manual",$M223=1),0,IF(OFFSET(CRONOPLE!$F$14,$M223,AQ$13)="",10^12,OFFSET(CRONOPLE!$F$14,$M223,AQ$13))))</f>
        <v>2</v>
      </c>
      <c r="AR223" s="216">
        <f ca="1">IF($D223&lt;&gt;"Serviço",0,IF(AND(AUTOEVENTO="Manual",$M223=1),0,IF(OFFSET(CRONOPLE!$F$14,$M223,AR$13)="",10^12,OFFSET(CRONOPLE!$F$14,$M223,AR$13))))</f>
        <v>2</v>
      </c>
      <c r="AS223" s="216">
        <f ca="1">IF($D223&lt;&gt;"Serviço",0,IF(AND(AUTOEVENTO="Manual",$M223=1),0,IF(OFFSET(CRONOPLE!$F$14,$M223,AS$13)="",10^12,OFFSET(CRONOPLE!$F$14,$M223,AS$13))))</f>
        <v>2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hidden="1" x14ac:dyDescent="0.2">
      <c r="A224" s="9" t="str">
        <f t="shared" ca="1" si="19"/>
        <v>36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6</v>
      </c>
      <c r="N224" s="212" t="str">
        <f ca="1">IF($D224&lt;&gt;"Serviço","",IF(AUTOEVENTO="Manual",IF($A224=0,"&lt;-- defina o número do agrupador",OFFSET(EVENTOS!$D$14,$A224,0)),OFFSET($F$15,$A224,0)))</f>
        <v>ENSAIOS TECNOLÓGICOS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</v>
      </c>
      <c r="AN224" s="216">
        <f ca="1">IF($D224&lt;&gt;"Serviço",0,IF(AND(AUTOEVENTO="Manual",$M224=1),0,IF(OFFSET(CRONOPLE!$F$14,$M224,AN$13)="",10^12,OFFSET(CRONOPLE!$F$14,$M224,AN$13))))</f>
        <v>1</v>
      </c>
      <c r="AO224" s="216">
        <f ca="1">IF($D224&lt;&gt;"Serviço",0,IF(AND(AUTOEVENTO="Manual",$M224=1),0,IF(OFFSET(CRONOPLE!$F$14,$M224,AO$13)="",10^12,OFFSET(CRONOPLE!$F$14,$M224,AO$13))))</f>
        <v>1</v>
      </c>
      <c r="AP224" s="216">
        <f ca="1">IF($D224&lt;&gt;"Serviço",0,IF(AND(AUTOEVENTO="Manual",$M224=1),0,IF(OFFSET(CRONOPLE!$F$14,$M224,AP$13)="",10^12,OFFSET(CRONOPLE!$F$14,$M224,AP$13))))</f>
        <v>1</v>
      </c>
      <c r="AQ224" s="216">
        <f ca="1">IF($D224&lt;&gt;"Serviço",0,IF(AND(AUTOEVENTO="Manual",$M224=1),0,IF(OFFSET(CRONOPLE!$F$14,$M224,AQ$13)="",10^12,OFFSET(CRONOPLE!$F$14,$M224,AQ$13))))</f>
        <v>2</v>
      </c>
      <c r="AR224" s="216">
        <f ca="1">IF($D224&lt;&gt;"Serviço",0,IF(AND(AUTOEVENTO="Manual",$M224=1),0,IF(OFFSET(CRONOPLE!$F$14,$M224,AR$13)="",10^12,OFFSET(CRONOPLE!$F$14,$M224,AR$13))))</f>
        <v>2</v>
      </c>
      <c r="AS224" s="216">
        <f ca="1">IF($D224&lt;&gt;"Serviço",0,IF(AND(AUTOEVENTO="Manual",$M224=1),0,IF(OFFSET(CRONOPLE!$F$14,$M224,AS$13)="",10^12,OFFSET(CRONOPLE!$F$14,$M224,AS$13))))</f>
        <v>2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hidden="1" x14ac:dyDescent="0.2">
      <c r="A225" s="9" t="str">
        <f t="shared" ca="1" si="19"/>
        <v>36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6</v>
      </c>
      <c r="N225" s="212" t="str">
        <f ca="1">IF($D225&lt;&gt;"Serviço","",IF(AUTOEVENTO="Manual",IF($A225=0,"&lt;-- defina o número do agrupador",OFFSET(EVENTOS!$D$14,$A225,0)),OFFSET($F$15,$A225,0)))</f>
        <v>ENSAIOS TECNOLÓGICOS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</v>
      </c>
      <c r="AN225" s="216">
        <f ca="1">IF($D225&lt;&gt;"Serviço",0,IF(AND(AUTOEVENTO="Manual",$M225=1),0,IF(OFFSET(CRONOPLE!$F$14,$M225,AN$13)="",10^12,OFFSET(CRONOPLE!$F$14,$M225,AN$13))))</f>
        <v>1</v>
      </c>
      <c r="AO225" s="216">
        <f ca="1">IF($D225&lt;&gt;"Serviço",0,IF(AND(AUTOEVENTO="Manual",$M225=1),0,IF(OFFSET(CRONOPLE!$F$14,$M225,AO$13)="",10^12,OFFSET(CRONOPLE!$F$14,$M225,AO$13))))</f>
        <v>1</v>
      </c>
      <c r="AP225" s="216">
        <f ca="1">IF($D225&lt;&gt;"Serviço",0,IF(AND(AUTOEVENTO="Manual",$M225=1),0,IF(OFFSET(CRONOPLE!$F$14,$M225,AP$13)="",10^12,OFFSET(CRONOPLE!$F$14,$M225,AP$13))))</f>
        <v>1</v>
      </c>
      <c r="AQ225" s="216">
        <f ca="1">IF($D225&lt;&gt;"Serviço",0,IF(AND(AUTOEVENTO="Manual",$M225=1),0,IF(OFFSET(CRONOPLE!$F$14,$M225,AQ$13)="",10^12,OFFSET(CRONOPLE!$F$14,$M225,AQ$13))))</f>
        <v>2</v>
      </c>
      <c r="AR225" s="216">
        <f ca="1">IF($D225&lt;&gt;"Serviço",0,IF(AND(AUTOEVENTO="Manual",$M225=1),0,IF(OFFSET(CRONOPLE!$F$14,$M225,AR$13)="",10^12,OFFSET(CRONOPLE!$F$14,$M225,AR$13))))</f>
        <v>2</v>
      </c>
      <c r="AS225" s="216">
        <f ca="1">IF($D225&lt;&gt;"Serviço",0,IF(AND(AUTOEVENTO="Manual",$M225=1),0,IF(OFFSET(CRONOPLE!$F$14,$M225,AS$13)="",10^12,OFFSET(CRONOPLE!$F$14,$M225,AS$13))))</f>
        <v>2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hidden="1" x14ac:dyDescent="0.2">
      <c r="A226" s="9" t="str">
        <f t="shared" ca="1" si="19"/>
        <v>36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6</v>
      </c>
      <c r="N226" s="212" t="str">
        <f ca="1">IF($D226&lt;&gt;"Serviço","",IF(AUTOEVENTO="Manual",IF($A226=0,"&lt;-- defina o número do agrupador",OFFSET(EVENTOS!$D$14,$A226,0)),OFFSET($F$15,$A226,0)))</f>
        <v>ENSAIOS TECNOLÓGICOS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</v>
      </c>
      <c r="AN226" s="216">
        <f ca="1">IF($D226&lt;&gt;"Serviço",0,IF(AND(AUTOEVENTO="Manual",$M226=1),0,IF(OFFSET(CRONOPLE!$F$14,$M226,AN$13)="",10^12,OFFSET(CRONOPLE!$F$14,$M226,AN$13))))</f>
        <v>1</v>
      </c>
      <c r="AO226" s="216">
        <f ca="1">IF($D226&lt;&gt;"Serviço",0,IF(AND(AUTOEVENTO="Manual",$M226=1),0,IF(OFFSET(CRONOPLE!$F$14,$M226,AO$13)="",10^12,OFFSET(CRONOPLE!$F$14,$M226,AO$13))))</f>
        <v>1</v>
      </c>
      <c r="AP226" s="216">
        <f ca="1">IF($D226&lt;&gt;"Serviço",0,IF(AND(AUTOEVENTO="Manual",$M226=1),0,IF(OFFSET(CRONOPLE!$F$14,$M226,AP$13)="",10^12,OFFSET(CRONOPLE!$F$14,$M226,AP$13))))</f>
        <v>1</v>
      </c>
      <c r="AQ226" s="216">
        <f ca="1">IF($D226&lt;&gt;"Serviço",0,IF(AND(AUTOEVENTO="Manual",$M226=1),0,IF(OFFSET(CRONOPLE!$F$14,$M226,AQ$13)="",10^12,OFFSET(CRONOPLE!$F$14,$M226,AQ$13))))</f>
        <v>2</v>
      </c>
      <c r="AR226" s="216">
        <f ca="1">IF($D226&lt;&gt;"Serviço",0,IF(AND(AUTOEVENTO="Manual",$M226=1),0,IF(OFFSET(CRONOPLE!$F$14,$M226,AR$13)="",10^12,OFFSET(CRONOPLE!$F$14,$M226,AR$13))))</f>
        <v>2</v>
      </c>
      <c r="AS226" s="216">
        <f ca="1">IF($D226&lt;&gt;"Serviço",0,IF(AND(AUTOEVENTO="Manual",$M226=1),0,IF(OFFSET(CRONOPLE!$F$14,$M226,AS$13)="",10^12,OFFSET(CRONOPLE!$F$14,$M226,AS$13))))</f>
        <v>2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hidden="1" x14ac:dyDescent="0.2">
      <c r="A227" s="9" t="str">
        <f t="shared" ca="1" si="19"/>
        <v>36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6</v>
      </c>
      <c r="N227" s="212" t="str">
        <f ca="1">IF($D227&lt;&gt;"Serviço","",IF(AUTOEVENTO="Manual",IF($A227=0,"&lt;-- defina o número do agrupador",OFFSET(EVENTOS!$D$14,$A227,0)),OFFSET($F$15,$A227,0)))</f>
        <v>ENSAIOS TECNOLÓGICOS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</v>
      </c>
      <c r="AN227" s="216">
        <f ca="1">IF($D227&lt;&gt;"Serviço",0,IF(AND(AUTOEVENTO="Manual",$M227=1),0,IF(OFFSET(CRONOPLE!$F$14,$M227,AN$13)="",10^12,OFFSET(CRONOPLE!$F$14,$M227,AN$13))))</f>
        <v>1</v>
      </c>
      <c r="AO227" s="216">
        <f ca="1">IF($D227&lt;&gt;"Serviço",0,IF(AND(AUTOEVENTO="Manual",$M227=1),0,IF(OFFSET(CRONOPLE!$F$14,$M227,AO$13)="",10^12,OFFSET(CRONOPLE!$F$14,$M227,AO$13))))</f>
        <v>1</v>
      </c>
      <c r="AP227" s="216">
        <f ca="1">IF($D227&lt;&gt;"Serviço",0,IF(AND(AUTOEVENTO="Manual",$M227=1),0,IF(OFFSET(CRONOPLE!$F$14,$M227,AP$13)="",10^12,OFFSET(CRONOPLE!$F$14,$M227,AP$13))))</f>
        <v>1</v>
      </c>
      <c r="AQ227" s="216">
        <f ca="1">IF($D227&lt;&gt;"Serviço",0,IF(AND(AUTOEVENTO="Manual",$M227=1),0,IF(OFFSET(CRONOPLE!$F$14,$M227,AQ$13)="",10^12,OFFSET(CRONOPLE!$F$14,$M227,AQ$13))))</f>
        <v>2</v>
      </c>
      <c r="AR227" s="216">
        <f ca="1">IF($D227&lt;&gt;"Serviço",0,IF(AND(AUTOEVENTO="Manual",$M227=1),0,IF(OFFSET(CRONOPLE!$F$14,$M227,AR$13)="",10^12,OFFSET(CRONOPLE!$F$14,$M227,AR$13))))</f>
        <v>2</v>
      </c>
      <c r="AS227" s="216">
        <f ca="1">IF($D227&lt;&gt;"Serviço",0,IF(AND(AUTOEVENTO="Manual",$M227=1),0,IF(OFFSET(CRONOPLE!$F$14,$M227,AS$13)="",10^12,OFFSET(CRONOPLE!$F$14,$M227,AS$13))))</f>
        <v>2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hidden="1" x14ac:dyDescent="0.2">
      <c r="A228" s="9" t="str">
        <f t="shared" ca="1" si="19"/>
        <v>36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6</v>
      </c>
      <c r="N228" s="212" t="str">
        <f ca="1">IF($D228&lt;&gt;"Serviço","",IF(AUTOEVENTO="Manual",IF($A228=0,"&lt;-- defina o número do agrupador",OFFSET(EVENTOS!$D$14,$A228,0)),OFFSET($F$15,$A228,0)))</f>
        <v>ENSAIOS TECNOLÓGICOS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</v>
      </c>
      <c r="AN228" s="216">
        <f ca="1">IF($D228&lt;&gt;"Serviço",0,IF(AND(AUTOEVENTO="Manual",$M228=1),0,IF(OFFSET(CRONOPLE!$F$14,$M228,AN$13)="",10^12,OFFSET(CRONOPLE!$F$14,$M228,AN$13))))</f>
        <v>1</v>
      </c>
      <c r="AO228" s="216">
        <f ca="1">IF($D228&lt;&gt;"Serviço",0,IF(AND(AUTOEVENTO="Manual",$M228=1),0,IF(OFFSET(CRONOPLE!$F$14,$M228,AO$13)="",10^12,OFFSET(CRONOPLE!$F$14,$M228,AO$13))))</f>
        <v>1</v>
      </c>
      <c r="AP228" s="216">
        <f ca="1">IF($D228&lt;&gt;"Serviço",0,IF(AND(AUTOEVENTO="Manual",$M228=1),0,IF(OFFSET(CRONOPLE!$F$14,$M228,AP$13)="",10^12,OFFSET(CRONOPLE!$F$14,$M228,AP$13))))</f>
        <v>1</v>
      </c>
      <c r="AQ228" s="216">
        <f ca="1">IF($D228&lt;&gt;"Serviço",0,IF(AND(AUTOEVENTO="Manual",$M228=1),0,IF(OFFSET(CRONOPLE!$F$14,$M228,AQ$13)="",10^12,OFFSET(CRONOPLE!$F$14,$M228,AQ$13))))</f>
        <v>2</v>
      </c>
      <c r="AR228" s="216">
        <f ca="1">IF($D228&lt;&gt;"Serviço",0,IF(AND(AUTOEVENTO="Manual",$M228=1),0,IF(OFFSET(CRONOPLE!$F$14,$M228,AR$13)="",10^12,OFFSET(CRONOPLE!$F$14,$M228,AR$13))))</f>
        <v>2</v>
      </c>
      <c r="AS228" s="216">
        <f ca="1">IF($D228&lt;&gt;"Serviço",0,IF(AND(AUTOEVENTO="Manual",$M228=1),0,IF(OFFSET(CRONOPLE!$F$14,$M228,AS$13)="",10^12,OFFSET(CRONOPLE!$F$14,$M228,AS$13))))</f>
        <v>2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hidden="1" x14ac:dyDescent="0.2">
      <c r="A229" s="9" t="str">
        <f t="shared" ca="1" si="19"/>
        <v>36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6</v>
      </c>
      <c r="N229" s="212" t="str">
        <f ca="1">IF($D229&lt;&gt;"Serviço","",IF(AUTOEVENTO="Manual",IF($A229=0,"&lt;-- defina o número do agrupador",OFFSET(EVENTOS!$D$14,$A229,0)),OFFSET($F$15,$A229,0)))</f>
        <v>ENSAIOS TECNOLÓGICOS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</v>
      </c>
      <c r="AN229" s="216">
        <f ca="1">IF($D229&lt;&gt;"Serviço",0,IF(AND(AUTOEVENTO="Manual",$M229=1),0,IF(OFFSET(CRONOPLE!$F$14,$M229,AN$13)="",10^12,OFFSET(CRONOPLE!$F$14,$M229,AN$13))))</f>
        <v>1</v>
      </c>
      <c r="AO229" s="216">
        <f ca="1">IF($D229&lt;&gt;"Serviço",0,IF(AND(AUTOEVENTO="Manual",$M229=1),0,IF(OFFSET(CRONOPLE!$F$14,$M229,AO$13)="",10^12,OFFSET(CRONOPLE!$F$14,$M229,AO$13))))</f>
        <v>1</v>
      </c>
      <c r="AP229" s="216">
        <f ca="1">IF($D229&lt;&gt;"Serviço",0,IF(AND(AUTOEVENTO="Manual",$M229=1),0,IF(OFFSET(CRONOPLE!$F$14,$M229,AP$13)="",10^12,OFFSET(CRONOPLE!$F$14,$M229,AP$13))))</f>
        <v>1</v>
      </c>
      <c r="AQ229" s="216">
        <f ca="1">IF($D229&lt;&gt;"Serviço",0,IF(AND(AUTOEVENTO="Manual",$M229=1),0,IF(OFFSET(CRONOPLE!$F$14,$M229,AQ$13)="",10^12,OFFSET(CRONOPLE!$F$14,$M229,AQ$13))))</f>
        <v>2</v>
      </c>
      <c r="AR229" s="216">
        <f ca="1">IF($D229&lt;&gt;"Serviço",0,IF(AND(AUTOEVENTO="Manual",$M229=1),0,IF(OFFSET(CRONOPLE!$F$14,$M229,AR$13)="",10^12,OFFSET(CRONOPLE!$F$14,$M229,AR$13))))</f>
        <v>2</v>
      </c>
      <c r="AS229" s="216">
        <f ca="1">IF($D229&lt;&gt;"Serviço",0,IF(AND(AUTOEVENTO="Manual",$M229=1),0,IF(OFFSET(CRONOPLE!$F$14,$M229,AS$13)="",10^12,OFFSET(CRONOPLE!$F$14,$M229,AS$13))))</f>
        <v>2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hidden="1" x14ac:dyDescent="0.2">
      <c r="A230" s="9" t="str">
        <f t="shared" ca="1" si="19"/>
        <v>36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6</v>
      </c>
      <c r="N230" s="212" t="str">
        <f ca="1">IF($D230&lt;&gt;"Serviço","",IF(AUTOEVENTO="Manual",IF($A230=0,"&lt;-- defina o número do agrupador",OFFSET(EVENTOS!$D$14,$A230,0)),OFFSET($F$15,$A230,0)))</f>
        <v>ENSAIOS TECNOLÓGICOS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</v>
      </c>
      <c r="AN230" s="216">
        <f ca="1">IF($D230&lt;&gt;"Serviço",0,IF(AND(AUTOEVENTO="Manual",$M230=1),0,IF(OFFSET(CRONOPLE!$F$14,$M230,AN$13)="",10^12,OFFSET(CRONOPLE!$F$14,$M230,AN$13))))</f>
        <v>1</v>
      </c>
      <c r="AO230" s="216">
        <f ca="1">IF($D230&lt;&gt;"Serviço",0,IF(AND(AUTOEVENTO="Manual",$M230=1),0,IF(OFFSET(CRONOPLE!$F$14,$M230,AO$13)="",10^12,OFFSET(CRONOPLE!$F$14,$M230,AO$13))))</f>
        <v>1</v>
      </c>
      <c r="AP230" s="216">
        <f ca="1">IF($D230&lt;&gt;"Serviço",0,IF(AND(AUTOEVENTO="Manual",$M230=1),0,IF(OFFSET(CRONOPLE!$F$14,$M230,AP$13)="",10^12,OFFSET(CRONOPLE!$F$14,$M230,AP$13))))</f>
        <v>1</v>
      </c>
      <c r="AQ230" s="216">
        <f ca="1">IF($D230&lt;&gt;"Serviço",0,IF(AND(AUTOEVENTO="Manual",$M230=1),0,IF(OFFSET(CRONOPLE!$F$14,$M230,AQ$13)="",10^12,OFFSET(CRONOPLE!$F$14,$M230,AQ$13))))</f>
        <v>2</v>
      </c>
      <c r="AR230" s="216">
        <f ca="1">IF($D230&lt;&gt;"Serviço",0,IF(AND(AUTOEVENTO="Manual",$M230=1),0,IF(OFFSET(CRONOPLE!$F$14,$M230,AR$13)="",10^12,OFFSET(CRONOPLE!$F$14,$M230,AR$13))))</f>
        <v>2</v>
      </c>
      <c r="AS230" s="216">
        <f ca="1">IF($D230&lt;&gt;"Serviço",0,IF(AND(AUTOEVENTO="Manual",$M230=1),0,IF(OFFSET(CRONOPLE!$F$14,$M230,AS$13)="",10^12,OFFSET(CRONOPLE!$F$14,$M230,AS$13))))</f>
        <v>2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hidden="1" x14ac:dyDescent="0.2">
      <c r="A231" s="9" t="str">
        <f t="shared" ca="1" si="19"/>
        <v>36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6</v>
      </c>
      <c r="N231" s="212" t="str">
        <f ca="1">IF($D231&lt;&gt;"Serviço","",IF(AUTOEVENTO="Manual",IF($A231=0,"&lt;-- defina o número do agrupador",OFFSET(EVENTOS!$D$14,$A231,0)),OFFSET($F$15,$A231,0)))</f>
        <v>ENSAIOS TECNOLÓGICOS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</v>
      </c>
      <c r="AN231" s="216">
        <f ca="1">IF($D231&lt;&gt;"Serviço",0,IF(AND(AUTOEVENTO="Manual",$M231=1),0,IF(OFFSET(CRONOPLE!$F$14,$M231,AN$13)="",10^12,OFFSET(CRONOPLE!$F$14,$M231,AN$13))))</f>
        <v>1</v>
      </c>
      <c r="AO231" s="216">
        <f ca="1">IF($D231&lt;&gt;"Serviço",0,IF(AND(AUTOEVENTO="Manual",$M231=1),0,IF(OFFSET(CRONOPLE!$F$14,$M231,AO$13)="",10^12,OFFSET(CRONOPLE!$F$14,$M231,AO$13))))</f>
        <v>1</v>
      </c>
      <c r="AP231" s="216">
        <f ca="1">IF($D231&lt;&gt;"Serviço",0,IF(AND(AUTOEVENTO="Manual",$M231=1),0,IF(OFFSET(CRONOPLE!$F$14,$M231,AP$13)="",10^12,OFFSET(CRONOPLE!$F$14,$M231,AP$13))))</f>
        <v>1</v>
      </c>
      <c r="AQ231" s="216">
        <f ca="1">IF($D231&lt;&gt;"Serviço",0,IF(AND(AUTOEVENTO="Manual",$M231=1),0,IF(OFFSET(CRONOPLE!$F$14,$M231,AQ$13)="",10^12,OFFSET(CRONOPLE!$F$14,$M231,AQ$13))))</f>
        <v>2</v>
      </c>
      <c r="AR231" s="216">
        <f ca="1">IF($D231&lt;&gt;"Serviço",0,IF(AND(AUTOEVENTO="Manual",$M231=1),0,IF(OFFSET(CRONOPLE!$F$14,$M231,AR$13)="",10^12,OFFSET(CRONOPLE!$F$14,$M231,AR$13))))</f>
        <v>2</v>
      </c>
      <c r="AS231" s="216">
        <f ca="1">IF($D231&lt;&gt;"Serviço",0,IF(AND(AUTOEVENTO="Manual",$M231=1),0,IF(OFFSET(CRONOPLE!$F$14,$M231,AS$13)="",10^12,OFFSET(CRONOPLE!$F$14,$M231,AS$13))))</f>
        <v>2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hidden="1" x14ac:dyDescent="0.2">
      <c r="A232" s="9" t="str">
        <f t="shared" ca="1" si="19"/>
        <v>36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6</v>
      </c>
      <c r="N232" s="212" t="str">
        <f ca="1">IF($D232&lt;&gt;"Serviço","",IF(AUTOEVENTO="Manual",IF($A232=0,"&lt;-- defina o número do agrupador",OFFSET(EVENTOS!$D$14,$A232,0)),OFFSET($F$15,$A232,0)))</f>
        <v>ENSAIOS TECNOLÓGICOS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</v>
      </c>
      <c r="AN232" s="216">
        <f ca="1">IF($D232&lt;&gt;"Serviço",0,IF(AND(AUTOEVENTO="Manual",$M232=1),0,IF(OFFSET(CRONOPLE!$F$14,$M232,AN$13)="",10^12,OFFSET(CRONOPLE!$F$14,$M232,AN$13))))</f>
        <v>1</v>
      </c>
      <c r="AO232" s="216">
        <f ca="1">IF($D232&lt;&gt;"Serviço",0,IF(AND(AUTOEVENTO="Manual",$M232=1),0,IF(OFFSET(CRONOPLE!$F$14,$M232,AO$13)="",10^12,OFFSET(CRONOPLE!$F$14,$M232,AO$13))))</f>
        <v>1</v>
      </c>
      <c r="AP232" s="216">
        <f ca="1">IF($D232&lt;&gt;"Serviço",0,IF(AND(AUTOEVENTO="Manual",$M232=1),0,IF(OFFSET(CRONOPLE!$F$14,$M232,AP$13)="",10^12,OFFSET(CRONOPLE!$F$14,$M232,AP$13))))</f>
        <v>1</v>
      </c>
      <c r="AQ232" s="216">
        <f ca="1">IF($D232&lt;&gt;"Serviço",0,IF(AND(AUTOEVENTO="Manual",$M232=1),0,IF(OFFSET(CRONOPLE!$F$14,$M232,AQ$13)="",10^12,OFFSET(CRONOPLE!$F$14,$M232,AQ$13))))</f>
        <v>2</v>
      </c>
      <c r="AR232" s="216">
        <f ca="1">IF($D232&lt;&gt;"Serviço",0,IF(AND(AUTOEVENTO="Manual",$M232=1),0,IF(OFFSET(CRONOPLE!$F$14,$M232,AR$13)="",10^12,OFFSET(CRONOPLE!$F$14,$M232,AR$13))))</f>
        <v>2</v>
      </c>
      <c r="AS232" s="216">
        <f ca="1">IF($D232&lt;&gt;"Serviço",0,IF(AND(AUTOEVENTO="Manual",$M232=1),0,IF(OFFSET(CRONOPLE!$F$14,$M232,AS$13)="",10^12,OFFSET(CRONOPLE!$F$14,$M232,AS$13))))</f>
        <v>2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hidden="1" x14ac:dyDescent="0.2">
      <c r="A233" s="9" t="str">
        <f t="shared" ca="1" si="19"/>
        <v>36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6</v>
      </c>
      <c r="N233" s="212" t="str">
        <f ca="1">IF($D233&lt;&gt;"Serviço","",IF(AUTOEVENTO="Manual",IF($A233=0,"&lt;-- defina o número do agrupador",OFFSET(EVENTOS!$D$14,$A233,0)),OFFSET($F$15,$A233,0)))</f>
        <v>ENSAIOS TECNOLÓGICOS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</v>
      </c>
      <c r="AN233" s="216">
        <f ca="1">IF($D233&lt;&gt;"Serviço",0,IF(AND(AUTOEVENTO="Manual",$M233=1),0,IF(OFFSET(CRONOPLE!$F$14,$M233,AN$13)="",10^12,OFFSET(CRONOPLE!$F$14,$M233,AN$13))))</f>
        <v>1</v>
      </c>
      <c r="AO233" s="216">
        <f ca="1">IF($D233&lt;&gt;"Serviço",0,IF(AND(AUTOEVENTO="Manual",$M233=1),0,IF(OFFSET(CRONOPLE!$F$14,$M233,AO$13)="",10^12,OFFSET(CRONOPLE!$F$14,$M233,AO$13))))</f>
        <v>1</v>
      </c>
      <c r="AP233" s="216">
        <f ca="1">IF($D233&lt;&gt;"Serviço",0,IF(AND(AUTOEVENTO="Manual",$M233=1),0,IF(OFFSET(CRONOPLE!$F$14,$M233,AP$13)="",10^12,OFFSET(CRONOPLE!$F$14,$M233,AP$13))))</f>
        <v>1</v>
      </c>
      <c r="AQ233" s="216">
        <f ca="1">IF($D233&lt;&gt;"Serviço",0,IF(AND(AUTOEVENTO="Manual",$M233=1),0,IF(OFFSET(CRONOPLE!$F$14,$M233,AQ$13)="",10^12,OFFSET(CRONOPLE!$F$14,$M233,AQ$13))))</f>
        <v>2</v>
      </c>
      <c r="AR233" s="216">
        <f ca="1">IF($D233&lt;&gt;"Serviço",0,IF(AND(AUTOEVENTO="Manual",$M233=1),0,IF(OFFSET(CRONOPLE!$F$14,$M233,AR$13)="",10^12,OFFSET(CRONOPLE!$F$14,$M233,AR$13))))</f>
        <v>2</v>
      </c>
      <c r="AS233" s="216">
        <f ca="1">IF($D233&lt;&gt;"Serviço",0,IF(AND(AUTOEVENTO="Manual",$M233=1),0,IF(OFFSET(CRONOPLE!$F$14,$M233,AS$13)="",10^12,OFFSET(CRONOPLE!$F$14,$M233,AS$13))))</f>
        <v>2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hidden="1" x14ac:dyDescent="0.2">
      <c r="A234" s="9" t="str">
        <f t="shared" ca="1" si="19"/>
        <v>36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6</v>
      </c>
      <c r="N234" s="212" t="str">
        <f ca="1">IF($D234&lt;&gt;"Serviço","",IF(AUTOEVENTO="Manual",IF($A234=0,"&lt;-- defina o número do agrupador",OFFSET(EVENTOS!$D$14,$A234,0)),OFFSET($F$15,$A234,0)))</f>
        <v>ENSAIOS TECNOLÓGICOS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</v>
      </c>
      <c r="AN234" s="216">
        <f ca="1">IF($D234&lt;&gt;"Serviço",0,IF(AND(AUTOEVENTO="Manual",$M234=1),0,IF(OFFSET(CRONOPLE!$F$14,$M234,AN$13)="",10^12,OFFSET(CRONOPLE!$F$14,$M234,AN$13))))</f>
        <v>1</v>
      </c>
      <c r="AO234" s="216">
        <f ca="1">IF($D234&lt;&gt;"Serviço",0,IF(AND(AUTOEVENTO="Manual",$M234=1),0,IF(OFFSET(CRONOPLE!$F$14,$M234,AO$13)="",10^12,OFFSET(CRONOPLE!$F$14,$M234,AO$13))))</f>
        <v>1</v>
      </c>
      <c r="AP234" s="216">
        <f ca="1">IF($D234&lt;&gt;"Serviço",0,IF(AND(AUTOEVENTO="Manual",$M234=1),0,IF(OFFSET(CRONOPLE!$F$14,$M234,AP$13)="",10^12,OFFSET(CRONOPLE!$F$14,$M234,AP$13))))</f>
        <v>1</v>
      </c>
      <c r="AQ234" s="216">
        <f ca="1">IF($D234&lt;&gt;"Serviço",0,IF(AND(AUTOEVENTO="Manual",$M234=1),0,IF(OFFSET(CRONOPLE!$F$14,$M234,AQ$13)="",10^12,OFFSET(CRONOPLE!$F$14,$M234,AQ$13))))</f>
        <v>2</v>
      </c>
      <c r="AR234" s="216">
        <f ca="1">IF($D234&lt;&gt;"Serviço",0,IF(AND(AUTOEVENTO="Manual",$M234=1),0,IF(OFFSET(CRONOPLE!$F$14,$M234,AR$13)="",10^12,OFFSET(CRONOPLE!$F$14,$M234,AR$13))))</f>
        <v>2</v>
      </c>
      <c r="AS234" s="216">
        <f ca="1">IF($D234&lt;&gt;"Serviço",0,IF(AND(AUTOEVENTO="Manual",$M234=1),0,IF(OFFSET(CRONOPLE!$F$14,$M234,AS$13)="",10^12,OFFSET(CRONOPLE!$F$14,$M234,AS$13))))</f>
        <v>2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hidden="1" x14ac:dyDescent="0.2">
      <c r="A235" s="9" t="str">
        <f t="shared" ca="1" si="19"/>
        <v>36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6</v>
      </c>
      <c r="N235" s="212" t="str">
        <f ca="1">IF($D235&lt;&gt;"Serviço","",IF(AUTOEVENTO="Manual",IF($A235=0,"&lt;-- defina o número do agrupador",OFFSET(EVENTOS!$D$14,$A235,0)),OFFSET($F$15,$A235,0)))</f>
        <v>ENSAIOS TECNOLÓGICOS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</v>
      </c>
      <c r="AN235" s="216">
        <f ca="1">IF($D235&lt;&gt;"Serviço",0,IF(AND(AUTOEVENTO="Manual",$M235=1),0,IF(OFFSET(CRONOPLE!$F$14,$M235,AN$13)="",10^12,OFFSET(CRONOPLE!$F$14,$M235,AN$13))))</f>
        <v>1</v>
      </c>
      <c r="AO235" s="216">
        <f ca="1">IF($D235&lt;&gt;"Serviço",0,IF(AND(AUTOEVENTO="Manual",$M235=1),0,IF(OFFSET(CRONOPLE!$F$14,$M235,AO$13)="",10^12,OFFSET(CRONOPLE!$F$14,$M235,AO$13))))</f>
        <v>1</v>
      </c>
      <c r="AP235" s="216">
        <f ca="1">IF($D235&lt;&gt;"Serviço",0,IF(AND(AUTOEVENTO="Manual",$M235=1),0,IF(OFFSET(CRONOPLE!$F$14,$M235,AP$13)="",10^12,OFFSET(CRONOPLE!$F$14,$M235,AP$13))))</f>
        <v>1</v>
      </c>
      <c r="AQ235" s="216">
        <f ca="1">IF($D235&lt;&gt;"Serviço",0,IF(AND(AUTOEVENTO="Manual",$M235=1),0,IF(OFFSET(CRONOPLE!$F$14,$M235,AQ$13)="",10^12,OFFSET(CRONOPLE!$F$14,$M235,AQ$13))))</f>
        <v>2</v>
      </c>
      <c r="AR235" s="216">
        <f ca="1">IF($D235&lt;&gt;"Serviço",0,IF(AND(AUTOEVENTO="Manual",$M235=1),0,IF(OFFSET(CRONOPLE!$F$14,$M235,AR$13)="",10^12,OFFSET(CRONOPLE!$F$14,$M235,AR$13))))</f>
        <v>2</v>
      </c>
      <c r="AS235" s="216">
        <f ca="1">IF($D235&lt;&gt;"Serviço",0,IF(AND(AUTOEVENTO="Manual",$M235=1),0,IF(OFFSET(CRONOPLE!$F$14,$M235,AS$13)="",10^12,OFFSET(CRONOPLE!$F$14,$M235,AS$13))))</f>
        <v>2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hidden="1" x14ac:dyDescent="0.2">
      <c r="A236" s="9" t="str">
        <f t="shared" ca="1" si="19"/>
        <v>36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6</v>
      </c>
      <c r="N236" s="212" t="str">
        <f ca="1">IF($D236&lt;&gt;"Serviço","",IF(AUTOEVENTO="Manual",IF($A236=0,"&lt;-- defina o número do agrupador",OFFSET(EVENTOS!$D$14,$A236,0)),OFFSET($F$15,$A236,0)))</f>
        <v>ENSAIOS TECNOLÓGICOS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</v>
      </c>
      <c r="AN236" s="216">
        <f ca="1">IF($D236&lt;&gt;"Serviço",0,IF(AND(AUTOEVENTO="Manual",$M236=1),0,IF(OFFSET(CRONOPLE!$F$14,$M236,AN$13)="",10^12,OFFSET(CRONOPLE!$F$14,$M236,AN$13))))</f>
        <v>1</v>
      </c>
      <c r="AO236" s="216">
        <f ca="1">IF($D236&lt;&gt;"Serviço",0,IF(AND(AUTOEVENTO="Manual",$M236=1),0,IF(OFFSET(CRONOPLE!$F$14,$M236,AO$13)="",10^12,OFFSET(CRONOPLE!$F$14,$M236,AO$13))))</f>
        <v>1</v>
      </c>
      <c r="AP236" s="216">
        <f ca="1">IF($D236&lt;&gt;"Serviço",0,IF(AND(AUTOEVENTO="Manual",$M236=1),0,IF(OFFSET(CRONOPLE!$F$14,$M236,AP$13)="",10^12,OFFSET(CRONOPLE!$F$14,$M236,AP$13))))</f>
        <v>1</v>
      </c>
      <c r="AQ236" s="216">
        <f ca="1">IF($D236&lt;&gt;"Serviço",0,IF(AND(AUTOEVENTO="Manual",$M236=1),0,IF(OFFSET(CRONOPLE!$F$14,$M236,AQ$13)="",10^12,OFFSET(CRONOPLE!$F$14,$M236,AQ$13))))</f>
        <v>2</v>
      </c>
      <c r="AR236" s="216">
        <f ca="1">IF($D236&lt;&gt;"Serviço",0,IF(AND(AUTOEVENTO="Manual",$M236=1),0,IF(OFFSET(CRONOPLE!$F$14,$M236,AR$13)="",10^12,OFFSET(CRONOPLE!$F$14,$M236,AR$13))))</f>
        <v>2</v>
      </c>
      <c r="AS236" s="216">
        <f ca="1">IF($D236&lt;&gt;"Serviço",0,IF(AND(AUTOEVENTO="Manual",$M236=1),0,IF(OFFSET(CRONOPLE!$F$14,$M236,AS$13)="",10^12,OFFSET(CRONOPLE!$F$14,$M236,AS$13))))</f>
        <v>2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hidden="1" x14ac:dyDescent="0.2">
      <c r="A237" s="9" t="str">
        <f t="shared" ca="1" si="19"/>
        <v>36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6</v>
      </c>
      <c r="N237" s="212" t="str">
        <f ca="1">IF($D237&lt;&gt;"Serviço","",IF(AUTOEVENTO="Manual",IF($A237=0,"&lt;-- defina o número do agrupador",OFFSET(EVENTOS!$D$14,$A237,0)),OFFSET($F$15,$A237,0)))</f>
        <v>ENSAIOS TECNOLÓGICOS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</v>
      </c>
      <c r="AN237" s="216">
        <f ca="1">IF($D237&lt;&gt;"Serviço",0,IF(AND(AUTOEVENTO="Manual",$M237=1),0,IF(OFFSET(CRONOPLE!$F$14,$M237,AN$13)="",10^12,OFFSET(CRONOPLE!$F$14,$M237,AN$13))))</f>
        <v>1</v>
      </c>
      <c r="AO237" s="216">
        <f ca="1">IF($D237&lt;&gt;"Serviço",0,IF(AND(AUTOEVENTO="Manual",$M237=1),0,IF(OFFSET(CRONOPLE!$F$14,$M237,AO$13)="",10^12,OFFSET(CRONOPLE!$F$14,$M237,AO$13))))</f>
        <v>1</v>
      </c>
      <c r="AP237" s="216">
        <f ca="1">IF($D237&lt;&gt;"Serviço",0,IF(AND(AUTOEVENTO="Manual",$M237=1),0,IF(OFFSET(CRONOPLE!$F$14,$M237,AP$13)="",10^12,OFFSET(CRONOPLE!$F$14,$M237,AP$13))))</f>
        <v>1</v>
      </c>
      <c r="AQ237" s="216">
        <f ca="1">IF($D237&lt;&gt;"Serviço",0,IF(AND(AUTOEVENTO="Manual",$M237=1),0,IF(OFFSET(CRONOPLE!$F$14,$M237,AQ$13)="",10^12,OFFSET(CRONOPLE!$F$14,$M237,AQ$13))))</f>
        <v>2</v>
      </c>
      <c r="AR237" s="216">
        <f ca="1">IF($D237&lt;&gt;"Serviço",0,IF(AND(AUTOEVENTO="Manual",$M237=1),0,IF(OFFSET(CRONOPLE!$F$14,$M237,AR$13)="",10^12,OFFSET(CRONOPLE!$F$14,$M237,AR$13))))</f>
        <v>2</v>
      </c>
      <c r="AS237" s="216">
        <f ca="1">IF($D237&lt;&gt;"Serviço",0,IF(AND(AUTOEVENTO="Manual",$M237=1),0,IF(OFFSET(CRONOPLE!$F$14,$M237,AS$13)="",10^12,OFFSET(CRONOPLE!$F$14,$M237,AS$13))))</f>
        <v>2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hidden="1" x14ac:dyDescent="0.2">
      <c r="A238" s="9" t="str">
        <f t="shared" ca="1" si="19"/>
        <v>36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6</v>
      </c>
      <c r="N238" s="212" t="str">
        <f ca="1">IF($D238&lt;&gt;"Serviço","",IF(AUTOEVENTO="Manual",IF($A238=0,"&lt;-- defina o número do agrupador",OFFSET(EVENTOS!$D$14,$A238,0)),OFFSET($F$15,$A238,0)))</f>
        <v>ENSAIOS TECNOLÓGICOS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</v>
      </c>
      <c r="AN238" s="216">
        <f ca="1">IF($D238&lt;&gt;"Serviço",0,IF(AND(AUTOEVENTO="Manual",$M238=1),0,IF(OFFSET(CRONOPLE!$F$14,$M238,AN$13)="",10^12,OFFSET(CRONOPLE!$F$14,$M238,AN$13))))</f>
        <v>1</v>
      </c>
      <c r="AO238" s="216">
        <f ca="1">IF($D238&lt;&gt;"Serviço",0,IF(AND(AUTOEVENTO="Manual",$M238=1),0,IF(OFFSET(CRONOPLE!$F$14,$M238,AO$13)="",10^12,OFFSET(CRONOPLE!$F$14,$M238,AO$13))))</f>
        <v>1</v>
      </c>
      <c r="AP238" s="216">
        <f ca="1">IF($D238&lt;&gt;"Serviço",0,IF(AND(AUTOEVENTO="Manual",$M238=1),0,IF(OFFSET(CRONOPLE!$F$14,$M238,AP$13)="",10^12,OFFSET(CRONOPLE!$F$14,$M238,AP$13))))</f>
        <v>1</v>
      </c>
      <c r="AQ238" s="216">
        <f ca="1">IF($D238&lt;&gt;"Serviço",0,IF(AND(AUTOEVENTO="Manual",$M238=1),0,IF(OFFSET(CRONOPLE!$F$14,$M238,AQ$13)="",10^12,OFFSET(CRONOPLE!$F$14,$M238,AQ$13))))</f>
        <v>2</v>
      </c>
      <c r="AR238" s="216">
        <f ca="1">IF($D238&lt;&gt;"Serviço",0,IF(AND(AUTOEVENTO="Manual",$M238=1),0,IF(OFFSET(CRONOPLE!$F$14,$M238,AR$13)="",10^12,OFFSET(CRONOPLE!$F$14,$M238,AR$13))))</f>
        <v>2</v>
      </c>
      <c r="AS238" s="216">
        <f ca="1">IF($D238&lt;&gt;"Serviço",0,IF(AND(AUTOEVENTO="Manual",$M238=1),0,IF(OFFSET(CRONOPLE!$F$14,$M238,AS$13)="",10^12,OFFSET(CRONOPLE!$F$14,$M238,AS$13))))</f>
        <v>2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hidden="1" x14ac:dyDescent="0.2">
      <c r="A239" s="9" t="str">
        <f t="shared" ca="1" si="19"/>
        <v>36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6</v>
      </c>
      <c r="N239" s="212" t="str">
        <f ca="1">IF($D239&lt;&gt;"Serviço","",IF(AUTOEVENTO="Manual",IF($A239=0,"&lt;-- defina o número do agrupador",OFFSET(EVENTOS!$D$14,$A239,0)),OFFSET($F$15,$A239,0)))</f>
        <v>ENSAIOS TECNOLÓGICOS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</v>
      </c>
      <c r="AN239" s="216">
        <f ca="1">IF($D239&lt;&gt;"Serviço",0,IF(AND(AUTOEVENTO="Manual",$M239=1),0,IF(OFFSET(CRONOPLE!$F$14,$M239,AN$13)="",10^12,OFFSET(CRONOPLE!$F$14,$M239,AN$13))))</f>
        <v>1</v>
      </c>
      <c r="AO239" s="216">
        <f ca="1">IF($D239&lt;&gt;"Serviço",0,IF(AND(AUTOEVENTO="Manual",$M239=1),0,IF(OFFSET(CRONOPLE!$F$14,$M239,AO$13)="",10^12,OFFSET(CRONOPLE!$F$14,$M239,AO$13))))</f>
        <v>1</v>
      </c>
      <c r="AP239" s="216">
        <f ca="1">IF($D239&lt;&gt;"Serviço",0,IF(AND(AUTOEVENTO="Manual",$M239=1),0,IF(OFFSET(CRONOPLE!$F$14,$M239,AP$13)="",10^12,OFFSET(CRONOPLE!$F$14,$M239,AP$13))))</f>
        <v>1</v>
      </c>
      <c r="AQ239" s="216">
        <f ca="1">IF($D239&lt;&gt;"Serviço",0,IF(AND(AUTOEVENTO="Manual",$M239=1),0,IF(OFFSET(CRONOPLE!$F$14,$M239,AQ$13)="",10^12,OFFSET(CRONOPLE!$F$14,$M239,AQ$13))))</f>
        <v>2</v>
      </c>
      <c r="AR239" s="216">
        <f ca="1">IF($D239&lt;&gt;"Serviço",0,IF(AND(AUTOEVENTO="Manual",$M239=1),0,IF(OFFSET(CRONOPLE!$F$14,$M239,AR$13)="",10^12,OFFSET(CRONOPLE!$F$14,$M239,AR$13))))</f>
        <v>2</v>
      </c>
      <c r="AS239" s="216">
        <f ca="1">IF($D239&lt;&gt;"Serviço",0,IF(AND(AUTOEVENTO="Manual",$M239=1),0,IF(OFFSET(CRONOPLE!$F$14,$M239,AS$13)="",10^12,OFFSET(CRONOPLE!$F$14,$M239,AS$13))))</f>
        <v>2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hidden="1" x14ac:dyDescent="0.2">
      <c r="A240" s="9" t="str">
        <f t="shared" ca="1" si="19"/>
        <v>36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6</v>
      </c>
      <c r="N240" s="212" t="str">
        <f ca="1">IF($D240&lt;&gt;"Serviço","",IF(AUTOEVENTO="Manual",IF($A240=0,"&lt;-- defina o número do agrupador",OFFSET(EVENTOS!$D$14,$A240,0)),OFFSET($F$15,$A240,0)))</f>
        <v>ENSAIOS TECNOLÓGICOS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</v>
      </c>
      <c r="AN240" s="216">
        <f ca="1">IF($D240&lt;&gt;"Serviço",0,IF(AND(AUTOEVENTO="Manual",$M240=1),0,IF(OFFSET(CRONOPLE!$F$14,$M240,AN$13)="",10^12,OFFSET(CRONOPLE!$F$14,$M240,AN$13))))</f>
        <v>1</v>
      </c>
      <c r="AO240" s="216">
        <f ca="1">IF($D240&lt;&gt;"Serviço",0,IF(AND(AUTOEVENTO="Manual",$M240=1),0,IF(OFFSET(CRONOPLE!$F$14,$M240,AO$13)="",10^12,OFFSET(CRONOPLE!$F$14,$M240,AO$13))))</f>
        <v>1</v>
      </c>
      <c r="AP240" s="216">
        <f ca="1">IF($D240&lt;&gt;"Serviço",0,IF(AND(AUTOEVENTO="Manual",$M240=1),0,IF(OFFSET(CRONOPLE!$F$14,$M240,AP$13)="",10^12,OFFSET(CRONOPLE!$F$14,$M240,AP$13))))</f>
        <v>1</v>
      </c>
      <c r="AQ240" s="216">
        <f ca="1">IF($D240&lt;&gt;"Serviço",0,IF(AND(AUTOEVENTO="Manual",$M240=1),0,IF(OFFSET(CRONOPLE!$F$14,$M240,AQ$13)="",10^12,OFFSET(CRONOPLE!$F$14,$M240,AQ$13))))</f>
        <v>2</v>
      </c>
      <c r="AR240" s="216">
        <f ca="1">IF($D240&lt;&gt;"Serviço",0,IF(AND(AUTOEVENTO="Manual",$M240=1),0,IF(OFFSET(CRONOPLE!$F$14,$M240,AR$13)="",10^12,OFFSET(CRONOPLE!$F$14,$M240,AR$13))))</f>
        <v>2</v>
      </c>
      <c r="AS240" s="216">
        <f ca="1">IF($D240&lt;&gt;"Serviço",0,IF(AND(AUTOEVENTO="Manual",$M240=1),0,IF(OFFSET(CRONOPLE!$F$14,$M240,AS$13)="",10^12,OFFSET(CRONOPLE!$F$14,$M240,AS$13))))</f>
        <v>2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hidden="1" x14ac:dyDescent="0.2">
      <c r="A241" s="9" t="str">
        <f t="shared" ca="1" si="19"/>
        <v>36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6</v>
      </c>
      <c r="N241" s="212" t="str">
        <f ca="1">IF($D241&lt;&gt;"Serviço","",IF(AUTOEVENTO="Manual",IF($A241=0,"&lt;-- defina o número do agrupador",OFFSET(EVENTOS!$D$14,$A241,0)),OFFSET($F$15,$A241,0)))</f>
        <v>ENSAIOS TECNOLÓGICOS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</v>
      </c>
      <c r="AN241" s="216">
        <f ca="1">IF($D241&lt;&gt;"Serviço",0,IF(AND(AUTOEVENTO="Manual",$M241=1),0,IF(OFFSET(CRONOPLE!$F$14,$M241,AN$13)="",10^12,OFFSET(CRONOPLE!$F$14,$M241,AN$13))))</f>
        <v>1</v>
      </c>
      <c r="AO241" s="216">
        <f ca="1">IF($D241&lt;&gt;"Serviço",0,IF(AND(AUTOEVENTO="Manual",$M241=1),0,IF(OFFSET(CRONOPLE!$F$14,$M241,AO$13)="",10^12,OFFSET(CRONOPLE!$F$14,$M241,AO$13))))</f>
        <v>1</v>
      </c>
      <c r="AP241" s="216">
        <f ca="1">IF($D241&lt;&gt;"Serviço",0,IF(AND(AUTOEVENTO="Manual",$M241=1),0,IF(OFFSET(CRONOPLE!$F$14,$M241,AP$13)="",10^12,OFFSET(CRONOPLE!$F$14,$M241,AP$13))))</f>
        <v>1</v>
      </c>
      <c r="AQ241" s="216">
        <f ca="1">IF($D241&lt;&gt;"Serviço",0,IF(AND(AUTOEVENTO="Manual",$M241=1),0,IF(OFFSET(CRONOPLE!$F$14,$M241,AQ$13)="",10^12,OFFSET(CRONOPLE!$F$14,$M241,AQ$13))))</f>
        <v>2</v>
      </c>
      <c r="AR241" s="216">
        <f ca="1">IF($D241&lt;&gt;"Serviço",0,IF(AND(AUTOEVENTO="Manual",$M241=1),0,IF(OFFSET(CRONOPLE!$F$14,$M241,AR$13)="",10^12,OFFSET(CRONOPLE!$F$14,$M241,AR$13))))</f>
        <v>2</v>
      </c>
      <c r="AS241" s="216">
        <f ca="1">IF($D241&lt;&gt;"Serviço",0,IF(AND(AUTOEVENTO="Manual",$M241=1),0,IF(OFFSET(CRONOPLE!$F$14,$M241,AS$13)="",10^12,OFFSET(CRONOPLE!$F$14,$M241,AS$13))))</f>
        <v>2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hidden="1" x14ac:dyDescent="0.2">
      <c r="A242" s="9" t="str">
        <f t="shared" ca="1" si="19"/>
        <v>36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6</v>
      </c>
      <c r="N242" s="212" t="str">
        <f ca="1">IF($D242&lt;&gt;"Serviço","",IF(AUTOEVENTO="Manual",IF($A242=0,"&lt;-- defina o número do agrupador",OFFSET(EVENTOS!$D$14,$A242,0)),OFFSET($F$15,$A242,0)))</f>
        <v>ENSAIOS TECNOLÓGICOS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</v>
      </c>
      <c r="AN242" s="216">
        <f ca="1">IF($D242&lt;&gt;"Serviço",0,IF(AND(AUTOEVENTO="Manual",$M242=1),0,IF(OFFSET(CRONOPLE!$F$14,$M242,AN$13)="",10^12,OFFSET(CRONOPLE!$F$14,$M242,AN$13))))</f>
        <v>1</v>
      </c>
      <c r="AO242" s="216">
        <f ca="1">IF($D242&lt;&gt;"Serviço",0,IF(AND(AUTOEVENTO="Manual",$M242=1),0,IF(OFFSET(CRONOPLE!$F$14,$M242,AO$13)="",10^12,OFFSET(CRONOPLE!$F$14,$M242,AO$13))))</f>
        <v>1</v>
      </c>
      <c r="AP242" s="216">
        <f ca="1">IF($D242&lt;&gt;"Serviço",0,IF(AND(AUTOEVENTO="Manual",$M242=1),0,IF(OFFSET(CRONOPLE!$F$14,$M242,AP$13)="",10^12,OFFSET(CRONOPLE!$F$14,$M242,AP$13))))</f>
        <v>1</v>
      </c>
      <c r="AQ242" s="216">
        <f ca="1">IF($D242&lt;&gt;"Serviço",0,IF(AND(AUTOEVENTO="Manual",$M242=1),0,IF(OFFSET(CRONOPLE!$F$14,$M242,AQ$13)="",10^12,OFFSET(CRONOPLE!$F$14,$M242,AQ$13))))</f>
        <v>2</v>
      </c>
      <c r="AR242" s="216">
        <f ca="1">IF($D242&lt;&gt;"Serviço",0,IF(AND(AUTOEVENTO="Manual",$M242=1),0,IF(OFFSET(CRONOPLE!$F$14,$M242,AR$13)="",10^12,OFFSET(CRONOPLE!$F$14,$M242,AR$13))))</f>
        <v>2</v>
      </c>
      <c r="AS242" s="216">
        <f ca="1">IF($D242&lt;&gt;"Serviço",0,IF(AND(AUTOEVENTO="Manual",$M242=1),0,IF(OFFSET(CRONOPLE!$F$14,$M242,AS$13)="",10^12,OFFSET(CRONOPLE!$F$14,$M242,AS$13))))</f>
        <v>2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hidden="1" x14ac:dyDescent="0.2">
      <c r="A243" s="9" t="str">
        <f t="shared" ca="1" si="19"/>
        <v>36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6</v>
      </c>
      <c r="N243" s="212" t="str">
        <f ca="1">IF($D243&lt;&gt;"Serviço","",IF(AUTOEVENTO="Manual",IF($A243=0,"&lt;-- defina o número do agrupador",OFFSET(EVENTOS!$D$14,$A243,0)),OFFSET($F$15,$A243,0)))</f>
        <v>ENSAIOS TECNOLÓGICOS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</v>
      </c>
      <c r="AN243" s="216">
        <f ca="1">IF($D243&lt;&gt;"Serviço",0,IF(AND(AUTOEVENTO="Manual",$M243=1),0,IF(OFFSET(CRONOPLE!$F$14,$M243,AN$13)="",10^12,OFFSET(CRONOPLE!$F$14,$M243,AN$13))))</f>
        <v>1</v>
      </c>
      <c r="AO243" s="216">
        <f ca="1">IF($D243&lt;&gt;"Serviço",0,IF(AND(AUTOEVENTO="Manual",$M243=1),0,IF(OFFSET(CRONOPLE!$F$14,$M243,AO$13)="",10^12,OFFSET(CRONOPLE!$F$14,$M243,AO$13))))</f>
        <v>1</v>
      </c>
      <c r="AP243" s="216">
        <f ca="1">IF($D243&lt;&gt;"Serviço",0,IF(AND(AUTOEVENTO="Manual",$M243=1),0,IF(OFFSET(CRONOPLE!$F$14,$M243,AP$13)="",10^12,OFFSET(CRONOPLE!$F$14,$M243,AP$13))))</f>
        <v>1</v>
      </c>
      <c r="AQ243" s="216">
        <f ca="1">IF($D243&lt;&gt;"Serviço",0,IF(AND(AUTOEVENTO="Manual",$M243=1),0,IF(OFFSET(CRONOPLE!$F$14,$M243,AQ$13)="",10^12,OFFSET(CRONOPLE!$F$14,$M243,AQ$13))))</f>
        <v>2</v>
      </c>
      <c r="AR243" s="216">
        <f ca="1">IF($D243&lt;&gt;"Serviço",0,IF(AND(AUTOEVENTO="Manual",$M243=1),0,IF(OFFSET(CRONOPLE!$F$14,$M243,AR$13)="",10^12,OFFSET(CRONOPLE!$F$14,$M243,AR$13))))</f>
        <v>2</v>
      </c>
      <c r="AS243" s="216">
        <f ca="1">IF($D243&lt;&gt;"Serviço",0,IF(AND(AUTOEVENTO="Manual",$M243=1),0,IF(OFFSET(CRONOPLE!$F$14,$M243,AS$13)="",10^12,OFFSET(CRONOPLE!$F$14,$M243,AS$13))))</f>
        <v>2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hidden="1" x14ac:dyDescent="0.2">
      <c r="A244" s="9" t="str">
        <f t="shared" ca="1" si="19"/>
        <v>36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6</v>
      </c>
      <c r="N244" s="212" t="str">
        <f ca="1">IF($D244&lt;&gt;"Serviço","",IF(AUTOEVENTO="Manual",IF($A244=0,"&lt;-- defina o número do agrupador",OFFSET(EVENTOS!$D$14,$A244,0)),OFFSET($F$15,$A244,0)))</f>
        <v>ENSAIOS TECNOLÓGICOS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</v>
      </c>
      <c r="AN244" s="216">
        <f ca="1">IF($D244&lt;&gt;"Serviço",0,IF(AND(AUTOEVENTO="Manual",$M244=1),0,IF(OFFSET(CRONOPLE!$F$14,$M244,AN$13)="",10^12,OFFSET(CRONOPLE!$F$14,$M244,AN$13))))</f>
        <v>1</v>
      </c>
      <c r="AO244" s="216">
        <f ca="1">IF($D244&lt;&gt;"Serviço",0,IF(AND(AUTOEVENTO="Manual",$M244=1),0,IF(OFFSET(CRONOPLE!$F$14,$M244,AO$13)="",10^12,OFFSET(CRONOPLE!$F$14,$M244,AO$13))))</f>
        <v>1</v>
      </c>
      <c r="AP244" s="216">
        <f ca="1">IF($D244&lt;&gt;"Serviço",0,IF(AND(AUTOEVENTO="Manual",$M244=1),0,IF(OFFSET(CRONOPLE!$F$14,$M244,AP$13)="",10^12,OFFSET(CRONOPLE!$F$14,$M244,AP$13))))</f>
        <v>1</v>
      </c>
      <c r="AQ244" s="216">
        <f ca="1">IF($D244&lt;&gt;"Serviço",0,IF(AND(AUTOEVENTO="Manual",$M244=1),0,IF(OFFSET(CRONOPLE!$F$14,$M244,AQ$13)="",10^12,OFFSET(CRONOPLE!$F$14,$M244,AQ$13))))</f>
        <v>2</v>
      </c>
      <c r="AR244" s="216">
        <f ca="1">IF($D244&lt;&gt;"Serviço",0,IF(AND(AUTOEVENTO="Manual",$M244=1),0,IF(OFFSET(CRONOPLE!$F$14,$M244,AR$13)="",10^12,OFFSET(CRONOPLE!$F$14,$M244,AR$13))))</f>
        <v>2</v>
      </c>
      <c r="AS244" s="216">
        <f ca="1">IF($D244&lt;&gt;"Serviço",0,IF(AND(AUTOEVENTO="Manual",$M244=1),0,IF(OFFSET(CRONOPLE!$F$14,$M244,AS$13)="",10^12,OFFSET(CRONOPLE!$F$14,$M244,AS$13))))</f>
        <v>2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hidden="1" x14ac:dyDescent="0.2">
      <c r="A245" s="9" t="str">
        <f t="shared" ca="1" si="19"/>
        <v>36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6</v>
      </c>
      <c r="N245" s="212" t="str">
        <f ca="1">IF($D245&lt;&gt;"Serviço","",IF(AUTOEVENTO="Manual",IF($A245=0,"&lt;-- defina o número do agrupador",OFFSET(EVENTOS!$D$14,$A245,0)),OFFSET($F$15,$A245,0)))</f>
        <v>ENSAIOS TECNOLÓGICOS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</v>
      </c>
      <c r="AN245" s="216">
        <f ca="1">IF($D245&lt;&gt;"Serviço",0,IF(AND(AUTOEVENTO="Manual",$M245=1),0,IF(OFFSET(CRONOPLE!$F$14,$M245,AN$13)="",10^12,OFFSET(CRONOPLE!$F$14,$M245,AN$13))))</f>
        <v>1</v>
      </c>
      <c r="AO245" s="216">
        <f ca="1">IF($D245&lt;&gt;"Serviço",0,IF(AND(AUTOEVENTO="Manual",$M245=1),0,IF(OFFSET(CRONOPLE!$F$14,$M245,AO$13)="",10^12,OFFSET(CRONOPLE!$F$14,$M245,AO$13))))</f>
        <v>1</v>
      </c>
      <c r="AP245" s="216">
        <f ca="1">IF($D245&lt;&gt;"Serviço",0,IF(AND(AUTOEVENTO="Manual",$M245=1),0,IF(OFFSET(CRONOPLE!$F$14,$M245,AP$13)="",10^12,OFFSET(CRONOPLE!$F$14,$M245,AP$13))))</f>
        <v>1</v>
      </c>
      <c r="AQ245" s="216">
        <f ca="1">IF($D245&lt;&gt;"Serviço",0,IF(AND(AUTOEVENTO="Manual",$M245=1),0,IF(OFFSET(CRONOPLE!$F$14,$M245,AQ$13)="",10^12,OFFSET(CRONOPLE!$F$14,$M245,AQ$13))))</f>
        <v>2</v>
      </c>
      <c r="AR245" s="216">
        <f ca="1">IF($D245&lt;&gt;"Serviço",0,IF(AND(AUTOEVENTO="Manual",$M245=1),0,IF(OFFSET(CRONOPLE!$F$14,$M245,AR$13)="",10^12,OFFSET(CRONOPLE!$F$14,$M245,AR$13))))</f>
        <v>2</v>
      </c>
      <c r="AS245" s="216">
        <f ca="1">IF($D245&lt;&gt;"Serviço",0,IF(AND(AUTOEVENTO="Manual",$M245=1),0,IF(OFFSET(CRONOPLE!$F$14,$M245,AS$13)="",10^12,OFFSET(CRONOPLE!$F$14,$M245,AS$13))))</f>
        <v>2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hidden="1" x14ac:dyDescent="0.2">
      <c r="A246" s="9" t="str">
        <f t="shared" ca="1" si="19"/>
        <v>36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6</v>
      </c>
      <c r="N246" s="212" t="str">
        <f ca="1">IF($D246&lt;&gt;"Serviço","",IF(AUTOEVENTO="Manual",IF($A246=0,"&lt;-- defina o número do agrupador",OFFSET(EVENTOS!$D$14,$A246,0)),OFFSET($F$15,$A246,0)))</f>
        <v>ENSAIOS TECNOLÓGICOS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</v>
      </c>
      <c r="AN246" s="216">
        <f ca="1">IF($D246&lt;&gt;"Serviço",0,IF(AND(AUTOEVENTO="Manual",$M246=1),0,IF(OFFSET(CRONOPLE!$F$14,$M246,AN$13)="",10^12,OFFSET(CRONOPLE!$F$14,$M246,AN$13))))</f>
        <v>1</v>
      </c>
      <c r="AO246" s="216">
        <f ca="1">IF($D246&lt;&gt;"Serviço",0,IF(AND(AUTOEVENTO="Manual",$M246=1),0,IF(OFFSET(CRONOPLE!$F$14,$M246,AO$13)="",10^12,OFFSET(CRONOPLE!$F$14,$M246,AO$13))))</f>
        <v>1</v>
      </c>
      <c r="AP246" s="216">
        <f ca="1">IF($D246&lt;&gt;"Serviço",0,IF(AND(AUTOEVENTO="Manual",$M246=1),0,IF(OFFSET(CRONOPLE!$F$14,$M246,AP$13)="",10^12,OFFSET(CRONOPLE!$F$14,$M246,AP$13))))</f>
        <v>1</v>
      </c>
      <c r="AQ246" s="216">
        <f ca="1">IF($D246&lt;&gt;"Serviço",0,IF(AND(AUTOEVENTO="Manual",$M246=1),0,IF(OFFSET(CRONOPLE!$F$14,$M246,AQ$13)="",10^12,OFFSET(CRONOPLE!$F$14,$M246,AQ$13))))</f>
        <v>2</v>
      </c>
      <c r="AR246" s="216">
        <f ca="1">IF($D246&lt;&gt;"Serviço",0,IF(AND(AUTOEVENTO="Manual",$M246=1),0,IF(OFFSET(CRONOPLE!$F$14,$M246,AR$13)="",10^12,OFFSET(CRONOPLE!$F$14,$M246,AR$13))))</f>
        <v>2</v>
      </c>
      <c r="AS246" s="216">
        <f ca="1">IF($D246&lt;&gt;"Serviço",0,IF(AND(AUTOEVENTO="Manual",$M246=1),0,IF(OFFSET(CRONOPLE!$F$14,$M246,AS$13)="",10^12,OFFSET(CRONOPLE!$F$14,$M246,AS$13))))</f>
        <v>2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hidden="1" x14ac:dyDescent="0.2">
      <c r="A247" s="9" t="str">
        <f t="shared" ca="1" si="19"/>
        <v>36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6</v>
      </c>
      <c r="N247" s="212" t="str">
        <f ca="1">IF($D247&lt;&gt;"Serviço","",IF(AUTOEVENTO="Manual",IF($A247=0,"&lt;-- defina o número do agrupador",OFFSET(EVENTOS!$D$14,$A247,0)),OFFSET($F$15,$A247,0)))</f>
        <v>ENSAIOS TECNOLÓGICOS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</v>
      </c>
      <c r="AN247" s="216">
        <f ca="1">IF($D247&lt;&gt;"Serviço",0,IF(AND(AUTOEVENTO="Manual",$M247=1),0,IF(OFFSET(CRONOPLE!$F$14,$M247,AN$13)="",10^12,OFFSET(CRONOPLE!$F$14,$M247,AN$13))))</f>
        <v>1</v>
      </c>
      <c r="AO247" s="216">
        <f ca="1">IF($D247&lt;&gt;"Serviço",0,IF(AND(AUTOEVENTO="Manual",$M247=1),0,IF(OFFSET(CRONOPLE!$F$14,$M247,AO$13)="",10^12,OFFSET(CRONOPLE!$F$14,$M247,AO$13))))</f>
        <v>1</v>
      </c>
      <c r="AP247" s="216">
        <f ca="1">IF($D247&lt;&gt;"Serviço",0,IF(AND(AUTOEVENTO="Manual",$M247=1),0,IF(OFFSET(CRONOPLE!$F$14,$M247,AP$13)="",10^12,OFFSET(CRONOPLE!$F$14,$M247,AP$13))))</f>
        <v>1</v>
      </c>
      <c r="AQ247" s="216">
        <f ca="1">IF($D247&lt;&gt;"Serviço",0,IF(AND(AUTOEVENTO="Manual",$M247=1),0,IF(OFFSET(CRONOPLE!$F$14,$M247,AQ$13)="",10^12,OFFSET(CRONOPLE!$F$14,$M247,AQ$13))))</f>
        <v>2</v>
      </c>
      <c r="AR247" s="216">
        <f ca="1">IF($D247&lt;&gt;"Serviço",0,IF(AND(AUTOEVENTO="Manual",$M247=1),0,IF(OFFSET(CRONOPLE!$F$14,$M247,AR$13)="",10^12,OFFSET(CRONOPLE!$F$14,$M247,AR$13))))</f>
        <v>2</v>
      </c>
      <c r="AS247" s="216">
        <f ca="1">IF($D247&lt;&gt;"Serviço",0,IF(AND(AUTOEVENTO="Manual",$M247=1),0,IF(OFFSET(CRONOPLE!$F$14,$M247,AS$13)="",10^12,OFFSET(CRONOPLE!$F$14,$M247,AS$13))))</f>
        <v>2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hidden="1" x14ac:dyDescent="0.2">
      <c r="A248" s="9" t="str">
        <f t="shared" ca="1" si="19"/>
        <v>36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6</v>
      </c>
      <c r="N248" s="212" t="str">
        <f ca="1">IF($D248&lt;&gt;"Serviço","",IF(AUTOEVENTO="Manual",IF($A248=0,"&lt;-- defina o número do agrupador",OFFSET(EVENTOS!$D$14,$A248,0)),OFFSET($F$15,$A248,0)))</f>
        <v>ENSAIOS TECNOLÓGICOS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</v>
      </c>
      <c r="AN248" s="216">
        <f ca="1">IF($D248&lt;&gt;"Serviço",0,IF(AND(AUTOEVENTO="Manual",$M248=1),0,IF(OFFSET(CRONOPLE!$F$14,$M248,AN$13)="",10^12,OFFSET(CRONOPLE!$F$14,$M248,AN$13))))</f>
        <v>1</v>
      </c>
      <c r="AO248" s="216">
        <f ca="1">IF($D248&lt;&gt;"Serviço",0,IF(AND(AUTOEVENTO="Manual",$M248=1),0,IF(OFFSET(CRONOPLE!$F$14,$M248,AO$13)="",10^12,OFFSET(CRONOPLE!$F$14,$M248,AO$13))))</f>
        <v>1</v>
      </c>
      <c r="AP248" s="216">
        <f ca="1">IF($D248&lt;&gt;"Serviço",0,IF(AND(AUTOEVENTO="Manual",$M248=1),0,IF(OFFSET(CRONOPLE!$F$14,$M248,AP$13)="",10^12,OFFSET(CRONOPLE!$F$14,$M248,AP$13))))</f>
        <v>1</v>
      </c>
      <c r="AQ248" s="216">
        <f ca="1">IF($D248&lt;&gt;"Serviço",0,IF(AND(AUTOEVENTO="Manual",$M248=1),0,IF(OFFSET(CRONOPLE!$F$14,$M248,AQ$13)="",10^12,OFFSET(CRONOPLE!$F$14,$M248,AQ$13))))</f>
        <v>2</v>
      </c>
      <c r="AR248" s="216">
        <f ca="1">IF($D248&lt;&gt;"Serviço",0,IF(AND(AUTOEVENTO="Manual",$M248=1),0,IF(OFFSET(CRONOPLE!$F$14,$M248,AR$13)="",10^12,OFFSET(CRONOPLE!$F$14,$M248,AR$13))))</f>
        <v>2</v>
      </c>
      <c r="AS248" s="216">
        <f ca="1">IF($D248&lt;&gt;"Serviço",0,IF(AND(AUTOEVENTO="Manual",$M248=1),0,IF(OFFSET(CRONOPLE!$F$14,$M248,AS$13)="",10^12,OFFSET(CRONOPLE!$F$14,$M248,AS$13))))</f>
        <v>2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hidden="1" x14ac:dyDescent="0.2">
      <c r="A249" s="9" t="str">
        <f t="shared" ca="1" si="19"/>
        <v>36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6</v>
      </c>
      <c r="N249" s="212" t="str">
        <f ca="1">IF($D249&lt;&gt;"Serviço","",IF(AUTOEVENTO="Manual",IF($A249=0,"&lt;-- defina o número do agrupador",OFFSET(EVENTOS!$D$14,$A249,0)),OFFSET($F$15,$A249,0)))</f>
        <v>ENSAIOS TECNOLÓGICOS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</v>
      </c>
      <c r="AN249" s="216">
        <f ca="1">IF($D249&lt;&gt;"Serviço",0,IF(AND(AUTOEVENTO="Manual",$M249=1),0,IF(OFFSET(CRONOPLE!$F$14,$M249,AN$13)="",10^12,OFFSET(CRONOPLE!$F$14,$M249,AN$13))))</f>
        <v>1</v>
      </c>
      <c r="AO249" s="216">
        <f ca="1">IF($D249&lt;&gt;"Serviço",0,IF(AND(AUTOEVENTO="Manual",$M249=1),0,IF(OFFSET(CRONOPLE!$F$14,$M249,AO$13)="",10^12,OFFSET(CRONOPLE!$F$14,$M249,AO$13))))</f>
        <v>1</v>
      </c>
      <c r="AP249" s="216">
        <f ca="1">IF($D249&lt;&gt;"Serviço",0,IF(AND(AUTOEVENTO="Manual",$M249=1),0,IF(OFFSET(CRONOPLE!$F$14,$M249,AP$13)="",10^12,OFFSET(CRONOPLE!$F$14,$M249,AP$13))))</f>
        <v>1</v>
      </c>
      <c r="AQ249" s="216">
        <f ca="1">IF($D249&lt;&gt;"Serviço",0,IF(AND(AUTOEVENTO="Manual",$M249=1),0,IF(OFFSET(CRONOPLE!$F$14,$M249,AQ$13)="",10^12,OFFSET(CRONOPLE!$F$14,$M249,AQ$13))))</f>
        <v>2</v>
      </c>
      <c r="AR249" s="216">
        <f ca="1">IF($D249&lt;&gt;"Serviço",0,IF(AND(AUTOEVENTO="Manual",$M249=1),0,IF(OFFSET(CRONOPLE!$F$14,$M249,AR$13)="",10^12,OFFSET(CRONOPLE!$F$14,$M249,AR$13))))</f>
        <v>2</v>
      </c>
      <c r="AS249" s="216">
        <f ca="1">IF($D249&lt;&gt;"Serviço",0,IF(AND(AUTOEVENTO="Manual",$M249=1),0,IF(OFFSET(CRONOPLE!$F$14,$M249,AS$13)="",10^12,OFFSET(CRONOPLE!$F$14,$M249,AS$13))))</f>
        <v>2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hidden="1" x14ac:dyDescent="0.2">
      <c r="A250" s="9" t="str">
        <f t="shared" ca="1" si="19"/>
        <v>36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6</v>
      </c>
      <c r="N250" s="212" t="str">
        <f ca="1">IF($D250&lt;&gt;"Serviço","",IF(AUTOEVENTO="Manual",IF($A250=0,"&lt;-- defina o número do agrupador",OFFSET(EVENTOS!$D$14,$A250,0)),OFFSET($F$15,$A250,0)))</f>
        <v>ENSAIOS TECNOLÓGICOS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</v>
      </c>
      <c r="AN250" s="216">
        <f ca="1">IF($D250&lt;&gt;"Serviço",0,IF(AND(AUTOEVENTO="Manual",$M250=1),0,IF(OFFSET(CRONOPLE!$F$14,$M250,AN$13)="",10^12,OFFSET(CRONOPLE!$F$14,$M250,AN$13))))</f>
        <v>1</v>
      </c>
      <c r="AO250" s="216">
        <f ca="1">IF($D250&lt;&gt;"Serviço",0,IF(AND(AUTOEVENTO="Manual",$M250=1),0,IF(OFFSET(CRONOPLE!$F$14,$M250,AO$13)="",10^12,OFFSET(CRONOPLE!$F$14,$M250,AO$13))))</f>
        <v>1</v>
      </c>
      <c r="AP250" s="216">
        <f ca="1">IF($D250&lt;&gt;"Serviço",0,IF(AND(AUTOEVENTO="Manual",$M250=1),0,IF(OFFSET(CRONOPLE!$F$14,$M250,AP$13)="",10^12,OFFSET(CRONOPLE!$F$14,$M250,AP$13))))</f>
        <v>1</v>
      </c>
      <c r="AQ250" s="216">
        <f ca="1">IF($D250&lt;&gt;"Serviço",0,IF(AND(AUTOEVENTO="Manual",$M250=1),0,IF(OFFSET(CRONOPLE!$F$14,$M250,AQ$13)="",10^12,OFFSET(CRONOPLE!$F$14,$M250,AQ$13))))</f>
        <v>2</v>
      </c>
      <c r="AR250" s="216">
        <f ca="1">IF($D250&lt;&gt;"Serviço",0,IF(AND(AUTOEVENTO="Manual",$M250=1),0,IF(OFFSET(CRONOPLE!$F$14,$M250,AR$13)="",10^12,OFFSET(CRONOPLE!$F$14,$M250,AR$13))))</f>
        <v>2</v>
      </c>
      <c r="AS250" s="216">
        <f ca="1">IF($D250&lt;&gt;"Serviço",0,IF(AND(AUTOEVENTO="Manual",$M250=1),0,IF(OFFSET(CRONOPLE!$F$14,$M250,AS$13)="",10^12,OFFSET(CRONOPLE!$F$14,$M250,AS$13))))</f>
        <v>2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hidden="1" x14ac:dyDescent="0.2">
      <c r="A251" s="9" t="str">
        <f t="shared" ca="1" si="19"/>
        <v>36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6</v>
      </c>
      <c r="N251" s="212" t="str">
        <f ca="1">IF($D251&lt;&gt;"Serviço","",IF(AUTOEVENTO="Manual",IF($A251=0,"&lt;-- defina o número do agrupador",OFFSET(EVENTOS!$D$14,$A251,0)),OFFSET($F$15,$A251,0)))</f>
        <v>ENSAIOS TECNOLÓGICOS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</v>
      </c>
      <c r="AN251" s="216">
        <f ca="1">IF($D251&lt;&gt;"Serviço",0,IF(AND(AUTOEVENTO="Manual",$M251=1),0,IF(OFFSET(CRONOPLE!$F$14,$M251,AN$13)="",10^12,OFFSET(CRONOPLE!$F$14,$M251,AN$13))))</f>
        <v>1</v>
      </c>
      <c r="AO251" s="216">
        <f ca="1">IF($D251&lt;&gt;"Serviço",0,IF(AND(AUTOEVENTO="Manual",$M251=1),0,IF(OFFSET(CRONOPLE!$F$14,$M251,AO$13)="",10^12,OFFSET(CRONOPLE!$F$14,$M251,AO$13))))</f>
        <v>1</v>
      </c>
      <c r="AP251" s="216">
        <f ca="1">IF($D251&lt;&gt;"Serviço",0,IF(AND(AUTOEVENTO="Manual",$M251=1),0,IF(OFFSET(CRONOPLE!$F$14,$M251,AP$13)="",10^12,OFFSET(CRONOPLE!$F$14,$M251,AP$13))))</f>
        <v>1</v>
      </c>
      <c r="AQ251" s="216">
        <f ca="1">IF($D251&lt;&gt;"Serviço",0,IF(AND(AUTOEVENTO="Manual",$M251=1),0,IF(OFFSET(CRONOPLE!$F$14,$M251,AQ$13)="",10^12,OFFSET(CRONOPLE!$F$14,$M251,AQ$13))))</f>
        <v>2</v>
      </c>
      <c r="AR251" s="216">
        <f ca="1">IF($D251&lt;&gt;"Serviço",0,IF(AND(AUTOEVENTO="Manual",$M251=1),0,IF(OFFSET(CRONOPLE!$F$14,$M251,AR$13)="",10^12,OFFSET(CRONOPLE!$F$14,$M251,AR$13))))</f>
        <v>2</v>
      </c>
      <c r="AS251" s="216">
        <f ca="1">IF($D251&lt;&gt;"Serviço",0,IF(AND(AUTOEVENTO="Manual",$M251=1),0,IF(OFFSET(CRONOPLE!$F$14,$M251,AS$13)="",10^12,OFFSET(CRONOPLE!$F$14,$M251,AS$13))))</f>
        <v>2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hidden="1" x14ac:dyDescent="0.2">
      <c r="A252" s="9" t="str">
        <f t="shared" ca="1" si="19"/>
        <v>36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6</v>
      </c>
      <c r="N252" s="212" t="str">
        <f ca="1">IF($D252&lt;&gt;"Serviço","",IF(AUTOEVENTO="Manual",IF($A252=0,"&lt;-- defina o número do agrupador",OFFSET(EVENTOS!$D$14,$A252,0)),OFFSET($F$15,$A252,0)))</f>
        <v>ENSAIOS TECNOLÓGICOS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</v>
      </c>
      <c r="AN252" s="216">
        <f ca="1">IF($D252&lt;&gt;"Serviço",0,IF(AND(AUTOEVENTO="Manual",$M252=1),0,IF(OFFSET(CRONOPLE!$F$14,$M252,AN$13)="",10^12,OFFSET(CRONOPLE!$F$14,$M252,AN$13))))</f>
        <v>1</v>
      </c>
      <c r="AO252" s="216">
        <f ca="1">IF($D252&lt;&gt;"Serviço",0,IF(AND(AUTOEVENTO="Manual",$M252=1),0,IF(OFFSET(CRONOPLE!$F$14,$M252,AO$13)="",10^12,OFFSET(CRONOPLE!$F$14,$M252,AO$13))))</f>
        <v>1</v>
      </c>
      <c r="AP252" s="216">
        <f ca="1">IF($D252&lt;&gt;"Serviço",0,IF(AND(AUTOEVENTO="Manual",$M252=1),0,IF(OFFSET(CRONOPLE!$F$14,$M252,AP$13)="",10^12,OFFSET(CRONOPLE!$F$14,$M252,AP$13))))</f>
        <v>1</v>
      </c>
      <c r="AQ252" s="216">
        <f ca="1">IF($D252&lt;&gt;"Serviço",0,IF(AND(AUTOEVENTO="Manual",$M252=1),0,IF(OFFSET(CRONOPLE!$F$14,$M252,AQ$13)="",10^12,OFFSET(CRONOPLE!$F$14,$M252,AQ$13))))</f>
        <v>2</v>
      </c>
      <c r="AR252" s="216">
        <f ca="1">IF($D252&lt;&gt;"Serviço",0,IF(AND(AUTOEVENTO="Manual",$M252=1),0,IF(OFFSET(CRONOPLE!$F$14,$M252,AR$13)="",10^12,OFFSET(CRONOPLE!$F$14,$M252,AR$13))))</f>
        <v>2</v>
      </c>
      <c r="AS252" s="216">
        <f ca="1">IF($D252&lt;&gt;"Serviço",0,IF(AND(AUTOEVENTO="Manual",$M252=1),0,IF(OFFSET(CRONOPLE!$F$14,$M252,AS$13)="",10^12,OFFSET(CRONOPLE!$F$14,$M252,AS$13))))</f>
        <v>2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hidden="1" x14ac:dyDescent="0.2">
      <c r="A253" s="9" t="str">
        <f t="shared" ca="1" si="19"/>
        <v>36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6</v>
      </c>
      <c r="N253" s="212" t="str">
        <f ca="1">IF($D253&lt;&gt;"Serviço","",IF(AUTOEVENTO="Manual",IF($A253=0,"&lt;-- defina o número do agrupador",OFFSET(EVENTOS!$D$14,$A253,0)),OFFSET($F$15,$A253,0)))</f>
        <v>ENSAIOS TECNOLÓGICOS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</v>
      </c>
      <c r="AN253" s="216">
        <f ca="1">IF($D253&lt;&gt;"Serviço",0,IF(AND(AUTOEVENTO="Manual",$M253=1),0,IF(OFFSET(CRONOPLE!$F$14,$M253,AN$13)="",10^12,OFFSET(CRONOPLE!$F$14,$M253,AN$13))))</f>
        <v>1</v>
      </c>
      <c r="AO253" s="216">
        <f ca="1">IF($D253&lt;&gt;"Serviço",0,IF(AND(AUTOEVENTO="Manual",$M253=1),0,IF(OFFSET(CRONOPLE!$F$14,$M253,AO$13)="",10^12,OFFSET(CRONOPLE!$F$14,$M253,AO$13))))</f>
        <v>1</v>
      </c>
      <c r="AP253" s="216">
        <f ca="1">IF($D253&lt;&gt;"Serviço",0,IF(AND(AUTOEVENTO="Manual",$M253=1),0,IF(OFFSET(CRONOPLE!$F$14,$M253,AP$13)="",10^12,OFFSET(CRONOPLE!$F$14,$M253,AP$13))))</f>
        <v>1</v>
      </c>
      <c r="AQ253" s="216">
        <f ca="1">IF($D253&lt;&gt;"Serviço",0,IF(AND(AUTOEVENTO="Manual",$M253=1),0,IF(OFFSET(CRONOPLE!$F$14,$M253,AQ$13)="",10^12,OFFSET(CRONOPLE!$F$14,$M253,AQ$13))))</f>
        <v>2</v>
      </c>
      <c r="AR253" s="216">
        <f ca="1">IF($D253&lt;&gt;"Serviço",0,IF(AND(AUTOEVENTO="Manual",$M253=1),0,IF(OFFSET(CRONOPLE!$F$14,$M253,AR$13)="",10^12,OFFSET(CRONOPLE!$F$14,$M253,AR$13))))</f>
        <v>2</v>
      </c>
      <c r="AS253" s="216">
        <f ca="1">IF($D253&lt;&gt;"Serviço",0,IF(AND(AUTOEVENTO="Manual",$M253=1),0,IF(OFFSET(CRONOPLE!$F$14,$M253,AS$13)="",10^12,OFFSET(CRONOPLE!$F$14,$M253,AS$13))))</f>
        <v>2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hidden="1" x14ac:dyDescent="0.2">
      <c r="A254" s="9" t="str">
        <f t="shared" ca="1" si="19"/>
        <v>36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6</v>
      </c>
      <c r="N254" s="212" t="str">
        <f ca="1">IF($D254&lt;&gt;"Serviço","",IF(AUTOEVENTO="Manual",IF($A254=0,"&lt;-- defina o número do agrupador",OFFSET(EVENTOS!$D$14,$A254,0)),OFFSET($F$15,$A254,0)))</f>
        <v>ENSAIOS TECNOLÓGICOS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</v>
      </c>
      <c r="AN254" s="216">
        <f ca="1">IF($D254&lt;&gt;"Serviço",0,IF(AND(AUTOEVENTO="Manual",$M254=1),0,IF(OFFSET(CRONOPLE!$F$14,$M254,AN$13)="",10^12,OFFSET(CRONOPLE!$F$14,$M254,AN$13))))</f>
        <v>1</v>
      </c>
      <c r="AO254" s="216">
        <f ca="1">IF($D254&lt;&gt;"Serviço",0,IF(AND(AUTOEVENTO="Manual",$M254=1),0,IF(OFFSET(CRONOPLE!$F$14,$M254,AO$13)="",10^12,OFFSET(CRONOPLE!$F$14,$M254,AO$13))))</f>
        <v>1</v>
      </c>
      <c r="AP254" s="216">
        <f ca="1">IF($D254&lt;&gt;"Serviço",0,IF(AND(AUTOEVENTO="Manual",$M254=1),0,IF(OFFSET(CRONOPLE!$F$14,$M254,AP$13)="",10^12,OFFSET(CRONOPLE!$F$14,$M254,AP$13))))</f>
        <v>1</v>
      </c>
      <c r="AQ254" s="216">
        <f ca="1">IF($D254&lt;&gt;"Serviço",0,IF(AND(AUTOEVENTO="Manual",$M254=1),0,IF(OFFSET(CRONOPLE!$F$14,$M254,AQ$13)="",10^12,OFFSET(CRONOPLE!$F$14,$M254,AQ$13))))</f>
        <v>2</v>
      </c>
      <c r="AR254" s="216">
        <f ca="1">IF($D254&lt;&gt;"Serviço",0,IF(AND(AUTOEVENTO="Manual",$M254=1),0,IF(OFFSET(CRONOPLE!$F$14,$M254,AR$13)="",10^12,OFFSET(CRONOPLE!$F$14,$M254,AR$13))))</f>
        <v>2</v>
      </c>
      <c r="AS254" s="216">
        <f ca="1">IF($D254&lt;&gt;"Serviço",0,IF(AND(AUTOEVENTO="Manual",$M254=1),0,IF(OFFSET(CRONOPLE!$F$14,$M254,AS$13)="",10^12,OFFSET(CRONOPLE!$F$14,$M254,AS$13))))</f>
        <v>2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hidden="1" x14ac:dyDescent="0.2">
      <c r="A255" s="9" t="str">
        <f t="shared" ca="1" si="19"/>
        <v>36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6</v>
      </c>
      <c r="N255" s="212" t="str">
        <f ca="1">IF($D255&lt;&gt;"Serviço","",IF(AUTOEVENTO="Manual",IF($A255=0,"&lt;-- defina o número do agrupador",OFFSET(EVENTOS!$D$14,$A255,0)),OFFSET($F$15,$A255,0)))</f>
        <v>ENSAIOS TECNOLÓGICOS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</v>
      </c>
      <c r="AN255" s="216">
        <f ca="1">IF($D255&lt;&gt;"Serviço",0,IF(AND(AUTOEVENTO="Manual",$M255=1),0,IF(OFFSET(CRONOPLE!$F$14,$M255,AN$13)="",10^12,OFFSET(CRONOPLE!$F$14,$M255,AN$13))))</f>
        <v>1</v>
      </c>
      <c r="AO255" s="216">
        <f ca="1">IF($D255&lt;&gt;"Serviço",0,IF(AND(AUTOEVENTO="Manual",$M255=1),0,IF(OFFSET(CRONOPLE!$F$14,$M255,AO$13)="",10^12,OFFSET(CRONOPLE!$F$14,$M255,AO$13))))</f>
        <v>1</v>
      </c>
      <c r="AP255" s="216">
        <f ca="1">IF($D255&lt;&gt;"Serviço",0,IF(AND(AUTOEVENTO="Manual",$M255=1),0,IF(OFFSET(CRONOPLE!$F$14,$M255,AP$13)="",10^12,OFFSET(CRONOPLE!$F$14,$M255,AP$13))))</f>
        <v>1</v>
      </c>
      <c r="AQ255" s="216">
        <f ca="1">IF($D255&lt;&gt;"Serviço",0,IF(AND(AUTOEVENTO="Manual",$M255=1),0,IF(OFFSET(CRONOPLE!$F$14,$M255,AQ$13)="",10^12,OFFSET(CRONOPLE!$F$14,$M255,AQ$13))))</f>
        <v>2</v>
      </c>
      <c r="AR255" s="216">
        <f ca="1">IF($D255&lt;&gt;"Serviço",0,IF(AND(AUTOEVENTO="Manual",$M255=1),0,IF(OFFSET(CRONOPLE!$F$14,$M255,AR$13)="",10^12,OFFSET(CRONOPLE!$F$14,$M255,AR$13))))</f>
        <v>2</v>
      </c>
      <c r="AS255" s="216">
        <f ca="1">IF($D255&lt;&gt;"Serviço",0,IF(AND(AUTOEVENTO="Manual",$M255=1),0,IF(OFFSET(CRONOPLE!$F$14,$M255,AS$13)="",10^12,OFFSET(CRONOPLE!$F$14,$M255,AS$13))))</f>
        <v>2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hidden="1" x14ac:dyDescent="0.2">
      <c r="A256" s="9" t="str">
        <f t="shared" ca="1" si="19"/>
        <v>36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6</v>
      </c>
      <c r="N256" s="212" t="str">
        <f ca="1">IF($D256&lt;&gt;"Serviço","",IF(AUTOEVENTO="Manual",IF($A256=0,"&lt;-- defina o número do agrupador",OFFSET(EVENTOS!$D$14,$A256,0)),OFFSET($F$15,$A256,0)))</f>
        <v>ENSAIOS TECNOLÓGICOS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</v>
      </c>
      <c r="AN256" s="216">
        <f ca="1">IF($D256&lt;&gt;"Serviço",0,IF(AND(AUTOEVENTO="Manual",$M256=1),0,IF(OFFSET(CRONOPLE!$F$14,$M256,AN$13)="",10^12,OFFSET(CRONOPLE!$F$14,$M256,AN$13))))</f>
        <v>1</v>
      </c>
      <c r="AO256" s="216">
        <f ca="1">IF($D256&lt;&gt;"Serviço",0,IF(AND(AUTOEVENTO="Manual",$M256=1),0,IF(OFFSET(CRONOPLE!$F$14,$M256,AO$13)="",10^12,OFFSET(CRONOPLE!$F$14,$M256,AO$13))))</f>
        <v>1</v>
      </c>
      <c r="AP256" s="216">
        <f ca="1">IF($D256&lt;&gt;"Serviço",0,IF(AND(AUTOEVENTO="Manual",$M256=1),0,IF(OFFSET(CRONOPLE!$F$14,$M256,AP$13)="",10^12,OFFSET(CRONOPLE!$F$14,$M256,AP$13))))</f>
        <v>1</v>
      </c>
      <c r="AQ256" s="216">
        <f ca="1">IF($D256&lt;&gt;"Serviço",0,IF(AND(AUTOEVENTO="Manual",$M256=1),0,IF(OFFSET(CRONOPLE!$F$14,$M256,AQ$13)="",10^12,OFFSET(CRONOPLE!$F$14,$M256,AQ$13))))</f>
        <v>2</v>
      </c>
      <c r="AR256" s="216">
        <f ca="1">IF($D256&lt;&gt;"Serviço",0,IF(AND(AUTOEVENTO="Manual",$M256=1),0,IF(OFFSET(CRONOPLE!$F$14,$M256,AR$13)="",10^12,OFFSET(CRONOPLE!$F$14,$M256,AR$13))))</f>
        <v>2</v>
      </c>
      <c r="AS256" s="216">
        <f ca="1">IF($D256&lt;&gt;"Serviço",0,IF(AND(AUTOEVENTO="Manual",$M256=1),0,IF(OFFSET(CRONOPLE!$F$14,$M256,AS$13)="",10^12,OFFSET(CRONOPLE!$F$14,$M256,AS$13))))</f>
        <v>2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hidden="1" x14ac:dyDescent="0.2">
      <c r="A257" s="9" t="str">
        <f t="shared" ca="1" si="19"/>
        <v>36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6</v>
      </c>
      <c r="N257" s="212" t="str">
        <f ca="1">IF($D257&lt;&gt;"Serviço","",IF(AUTOEVENTO="Manual",IF($A257=0,"&lt;-- defina o número do agrupador",OFFSET(EVENTOS!$D$14,$A257,0)),OFFSET($F$15,$A257,0)))</f>
        <v>ENSAIOS TECNOLÓGICOS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</v>
      </c>
      <c r="AN257" s="216">
        <f ca="1">IF($D257&lt;&gt;"Serviço",0,IF(AND(AUTOEVENTO="Manual",$M257=1),0,IF(OFFSET(CRONOPLE!$F$14,$M257,AN$13)="",10^12,OFFSET(CRONOPLE!$F$14,$M257,AN$13))))</f>
        <v>1</v>
      </c>
      <c r="AO257" s="216">
        <f ca="1">IF($D257&lt;&gt;"Serviço",0,IF(AND(AUTOEVENTO="Manual",$M257=1),0,IF(OFFSET(CRONOPLE!$F$14,$M257,AO$13)="",10^12,OFFSET(CRONOPLE!$F$14,$M257,AO$13))))</f>
        <v>1</v>
      </c>
      <c r="AP257" s="216">
        <f ca="1">IF($D257&lt;&gt;"Serviço",0,IF(AND(AUTOEVENTO="Manual",$M257=1),0,IF(OFFSET(CRONOPLE!$F$14,$M257,AP$13)="",10^12,OFFSET(CRONOPLE!$F$14,$M257,AP$13))))</f>
        <v>1</v>
      </c>
      <c r="AQ257" s="216">
        <f ca="1">IF($D257&lt;&gt;"Serviço",0,IF(AND(AUTOEVENTO="Manual",$M257=1),0,IF(OFFSET(CRONOPLE!$F$14,$M257,AQ$13)="",10^12,OFFSET(CRONOPLE!$F$14,$M257,AQ$13))))</f>
        <v>2</v>
      </c>
      <c r="AR257" s="216">
        <f ca="1">IF($D257&lt;&gt;"Serviço",0,IF(AND(AUTOEVENTO="Manual",$M257=1),0,IF(OFFSET(CRONOPLE!$F$14,$M257,AR$13)="",10^12,OFFSET(CRONOPLE!$F$14,$M257,AR$13))))</f>
        <v>2</v>
      </c>
      <c r="AS257" s="216">
        <f ca="1">IF($D257&lt;&gt;"Serviço",0,IF(AND(AUTOEVENTO="Manual",$M257=1),0,IF(OFFSET(CRONOPLE!$F$14,$M257,AS$13)="",10^12,OFFSET(CRONOPLE!$F$14,$M257,AS$13))))</f>
        <v>2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hidden="1" x14ac:dyDescent="0.2">
      <c r="A258" s="9" t="str">
        <f t="shared" ca="1" si="19"/>
        <v>36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6</v>
      </c>
      <c r="N258" s="212" t="str">
        <f ca="1">IF($D258&lt;&gt;"Serviço","",IF(AUTOEVENTO="Manual",IF($A258=0,"&lt;-- defina o número do agrupador",OFFSET(EVENTOS!$D$14,$A258,0)),OFFSET($F$15,$A258,0)))</f>
        <v>ENSAIOS TECNOLÓGICOS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</v>
      </c>
      <c r="AN258" s="216">
        <f ca="1">IF($D258&lt;&gt;"Serviço",0,IF(AND(AUTOEVENTO="Manual",$M258=1),0,IF(OFFSET(CRONOPLE!$F$14,$M258,AN$13)="",10^12,OFFSET(CRONOPLE!$F$14,$M258,AN$13))))</f>
        <v>1</v>
      </c>
      <c r="AO258" s="216">
        <f ca="1">IF($D258&lt;&gt;"Serviço",0,IF(AND(AUTOEVENTO="Manual",$M258=1),0,IF(OFFSET(CRONOPLE!$F$14,$M258,AO$13)="",10^12,OFFSET(CRONOPLE!$F$14,$M258,AO$13))))</f>
        <v>1</v>
      </c>
      <c r="AP258" s="216">
        <f ca="1">IF($D258&lt;&gt;"Serviço",0,IF(AND(AUTOEVENTO="Manual",$M258=1),0,IF(OFFSET(CRONOPLE!$F$14,$M258,AP$13)="",10^12,OFFSET(CRONOPLE!$F$14,$M258,AP$13))))</f>
        <v>1</v>
      </c>
      <c r="AQ258" s="216">
        <f ca="1">IF($D258&lt;&gt;"Serviço",0,IF(AND(AUTOEVENTO="Manual",$M258=1),0,IF(OFFSET(CRONOPLE!$F$14,$M258,AQ$13)="",10^12,OFFSET(CRONOPLE!$F$14,$M258,AQ$13))))</f>
        <v>2</v>
      </c>
      <c r="AR258" s="216">
        <f ca="1">IF($D258&lt;&gt;"Serviço",0,IF(AND(AUTOEVENTO="Manual",$M258=1),0,IF(OFFSET(CRONOPLE!$F$14,$M258,AR$13)="",10^12,OFFSET(CRONOPLE!$F$14,$M258,AR$13))))</f>
        <v>2</v>
      </c>
      <c r="AS258" s="216">
        <f ca="1">IF($D258&lt;&gt;"Serviço",0,IF(AND(AUTOEVENTO="Manual",$M258=1),0,IF(OFFSET(CRONOPLE!$F$14,$M258,AS$13)="",10^12,OFFSET(CRONOPLE!$F$14,$M258,AS$13))))</f>
        <v>2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hidden="1" x14ac:dyDescent="0.2">
      <c r="A259" s="9" t="str">
        <f t="shared" ca="1" si="19"/>
        <v>36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6</v>
      </c>
      <c r="N259" s="212" t="str">
        <f ca="1">IF($D259&lt;&gt;"Serviço","",IF(AUTOEVENTO="Manual",IF($A259=0,"&lt;-- defina o número do agrupador",OFFSET(EVENTOS!$D$14,$A259,0)),OFFSET($F$15,$A259,0)))</f>
        <v>ENSAIOS TECNOLÓGICOS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</v>
      </c>
      <c r="AN259" s="216">
        <f ca="1">IF($D259&lt;&gt;"Serviço",0,IF(AND(AUTOEVENTO="Manual",$M259=1),0,IF(OFFSET(CRONOPLE!$F$14,$M259,AN$13)="",10^12,OFFSET(CRONOPLE!$F$14,$M259,AN$13))))</f>
        <v>1</v>
      </c>
      <c r="AO259" s="216">
        <f ca="1">IF($D259&lt;&gt;"Serviço",0,IF(AND(AUTOEVENTO="Manual",$M259=1),0,IF(OFFSET(CRONOPLE!$F$14,$M259,AO$13)="",10^12,OFFSET(CRONOPLE!$F$14,$M259,AO$13))))</f>
        <v>1</v>
      </c>
      <c r="AP259" s="216">
        <f ca="1">IF($D259&lt;&gt;"Serviço",0,IF(AND(AUTOEVENTO="Manual",$M259=1),0,IF(OFFSET(CRONOPLE!$F$14,$M259,AP$13)="",10^12,OFFSET(CRONOPLE!$F$14,$M259,AP$13))))</f>
        <v>1</v>
      </c>
      <c r="AQ259" s="216">
        <f ca="1">IF($D259&lt;&gt;"Serviço",0,IF(AND(AUTOEVENTO="Manual",$M259=1),0,IF(OFFSET(CRONOPLE!$F$14,$M259,AQ$13)="",10^12,OFFSET(CRONOPLE!$F$14,$M259,AQ$13))))</f>
        <v>2</v>
      </c>
      <c r="AR259" s="216">
        <f ca="1">IF($D259&lt;&gt;"Serviço",0,IF(AND(AUTOEVENTO="Manual",$M259=1),0,IF(OFFSET(CRONOPLE!$F$14,$M259,AR$13)="",10^12,OFFSET(CRONOPLE!$F$14,$M259,AR$13))))</f>
        <v>2</v>
      </c>
      <c r="AS259" s="216">
        <f ca="1">IF($D259&lt;&gt;"Serviço",0,IF(AND(AUTOEVENTO="Manual",$M259=1),0,IF(OFFSET(CRONOPLE!$F$14,$M259,AS$13)="",10^12,OFFSET(CRONOPLE!$F$14,$M259,AS$13))))</f>
        <v>2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hidden="1" x14ac:dyDescent="0.2">
      <c r="A260" s="9" t="str">
        <f t="shared" ca="1" si="19"/>
        <v>36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6</v>
      </c>
      <c r="N260" s="212" t="str">
        <f ca="1">IF($D260&lt;&gt;"Serviço","",IF(AUTOEVENTO="Manual",IF($A260=0,"&lt;-- defina o número do agrupador",OFFSET(EVENTOS!$D$14,$A260,0)),OFFSET($F$15,$A260,0)))</f>
        <v>ENSAIOS TECNOLÓGICOS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</v>
      </c>
      <c r="AN260" s="216">
        <f ca="1">IF($D260&lt;&gt;"Serviço",0,IF(AND(AUTOEVENTO="Manual",$M260=1),0,IF(OFFSET(CRONOPLE!$F$14,$M260,AN$13)="",10^12,OFFSET(CRONOPLE!$F$14,$M260,AN$13))))</f>
        <v>1</v>
      </c>
      <c r="AO260" s="216">
        <f ca="1">IF($D260&lt;&gt;"Serviço",0,IF(AND(AUTOEVENTO="Manual",$M260=1),0,IF(OFFSET(CRONOPLE!$F$14,$M260,AO$13)="",10^12,OFFSET(CRONOPLE!$F$14,$M260,AO$13))))</f>
        <v>1</v>
      </c>
      <c r="AP260" s="216">
        <f ca="1">IF($D260&lt;&gt;"Serviço",0,IF(AND(AUTOEVENTO="Manual",$M260=1),0,IF(OFFSET(CRONOPLE!$F$14,$M260,AP$13)="",10^12,OFFSET(CRONOPLE!$F$14,$M260,AP$13))))</f>
        <v>1</v>
      </c>
      <c r="AQ260" s="216">
        <f ca="1">IF($D260&lt;&gt;"Serviço",0,IF(AND(AUTOEVENTO="Manual",$M260=1),0,IF(OFFSET(CRONOPLE!$F$14,$M260,AQ$13)="",10^12,OFFSET(CRONOPLE!$F$14,$M260,AQ$13))))</f>
        <v>2</v>
      </c>
      <c r="AR260" s="216">
        <f ca="1">IF($D260&lt;&gt;"Serviço",0,IF(AND(AUTOEVENTO="Manual",$M260=1),0,IF(OFFSET(CRONOPLE!$F$14,$M260,AR$13)="",10^12,OFFSET(CRONOPLE!$F$14,$M260,AR$13))))</f>
        <v>2</v>
      </c>
      <c r="AS260" s="216">
        <f ca="1">IF($D260&lt;&gt;"Serviço",0,IF(AND(AUTOEVENTO="Manual",$M260=1),0,IF(OFFSET(CRONOPLE!$F$14,$M260,AS$13)="",10^12,OFFSET(CRONOPLE!$F$14,$M260,AS$13))))</f>
        <v>2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hidden="1" x14ac:dyDescent="0.2">
      <c r="A261" s="9" t="str">
        <f t="shared" ca="1" si="19"/>
        <v>36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6</v>
      </c>
      <c r="N261" s="212" t="str">
        <f ca="1">IF($D261&lt;&gt;"Serviço","",IF(AUTOEVENTO="Manual",IF($A261=0,"&lt;-- defina o número do agrupador",OFFSET(EVENTOS!$D$14,$A261,0)),OFFSET($F$15,$A261,0)))</f>
        <v>ENSAIOS TECNOLÓGICOS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</v>
      </c>
      <c r="AN261" s="216">
        <f ca="1">IF($D261&lt;&gt;"Serviço",0,IF(AND(AUTOEVENTO="Manual",$M261=1),0,IF(OFFSET(CRONOPLE!$F$14,$M261,AN$13)="",10^12,OFFSET(CRONOPLE!$F$14,$M261,AN$13))))</f>
        <v>1</v>
      </c>
      <c r="AO261" s="216">
        <f ca="1">IF($D261&lt;&gt;"Serviço",0,IF(AND(AUTOEVENTO="Manual",$M261=1),0,IF(OFFSET(CRONOPLE!$F$14,$M261,AO$13)="",10^12,OFFSET(CRONOPLE!$F$14,$M261,AO$13))))</f>
        <v>1</v>
      </c>
      <c r="AP261" s="216">
        <f ca="1">IF($D261&lt;&gt;"Serviço",0,IF(AND(AUTOEVENTO="Manual",$M261=1),0,IF(OFFSET(CRONOPLE!$F$14,$M261,AP$13)="",10^12,OFFSET(CRONOPLE!$F$14,$M261,AP$13))))</f>
        <v>1</v>
      </c>
      <c r="AQ261" s="216">
        <f ca="1">IF($D261&lt;&gt;"Serviço",0,IF(AND(AUTOEVENTO="Manual",$M261=1),0,IF(OFFSET(CRONOPLE!$F$14,$M261,AQ$13)="",10^12,OFFSET(CRONOPLE!$F$14,$M261,AQ$13))))</f>
        <v>2</v>
      </c>
      <c r="AR261" s="216">
        <f ca="1">IF($D261&lt;&gt;"Serviço",0,IF(AND(AUTOEVENTO="Manual",$M261=1),0,IF(OFFSET(CRONOPLE!$F$14,$M261,AR$13)="",10^12,OFFSET(CRONOPLE!$F$14,$M261,AR$13))))</f>
        <v>2</v>
      </c>
      <c r="AS261" s="216">
        <f ca="1">IF($D261&lt;&gt;"Serviço",0,IF(AND(AUTOEVENTO="Manual",$M261=1),0,IF(OFFSET(CRONOPLE!$F$14,$M261,AS$13)="",10^12,OFFSET(CRONOPLE!$F$14,$M261,AS$13))))</f>
        <v>2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hidden="1" x14ac:dyDescent="0.2">
      <c r="A262" s="9" t="str">
        <f t="shared" ca="1" si="19"/>
        <v>36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6</v>
      </c>
      <c r="N262" s="212" t="str">
        <f ca="1">IF($D262&lt;&gt;"Serviço","",IF(AUTOEVENTO="Manual",IF($A262=0,"&lt;-- defina o número do agrupador",OFFSET(EVENTOS!$D$14,$A262,0)),OFFSET($F$15,$A262,0)))</f>
        <v>ENSAIOS TECNOLÓGICOS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</v>
      </c>
      <c r="AN262" s="216">
        <f ca="1">IF($D262&lt;&gt;"Serviço",0,IF(AND(AUTOEVENTO="Manual",$M262=1),0,IF(OFFSET(CRONOPLE!$F$14,$M262,AN$13)="",10^12,OFFSET(CRONOPLE!$F$14,$M262,AN$13))))</f>
        <v>1</v>
      </c>
      <c r="AO262" s="216">
        <f ca="1">IF($D262&lt;&gt;"Serviço",0,IF(AND(AUTOEVENTO="Manual",$M262=1),0,IF(OFFSET(CRONOPLE!$F$14,$M262,AO$13)="",10^12,OFFSET(CRONOPLE!$F$14,$M262,AO$13))))</f>
        <v>1</v>
      </c>
      <c r="AP262" s="216">
        <f ca="1">IF($D262&lt;&gt;"Serviço",0,IF(AND(AUTOEVENTO="Manual",$M262=1),0,IF(OFFSET(CRONOPLE!$F$14,$M262,AP$13)="",10^12,OFFSET(CRONOPLE!$F$14,$M262,AP$13))))</f>
        <v>1</v>
      </c>
      <c r="AQ262" s="216">
        <f ca="1">IF($D262&lt;&gt;"Serviço",0,IF(AND(AUTOEVENTO="Manual",$M262=1),0,IF(OFFSET(CRONOPLE!$F$14,$M262,AQ$13)="",10^12,OFFSET(CRONOPLE!$F$14,$M262,AQ$13))))</f>
        <v>2</v>
      </c>
      <c r="AR262" s="216">
        <f ca="1">IF($D262&lt;&gt;"Serviço",0,IF(AND(AUTOEVENTO="Manual",$M262=1),0,IF(OFFSET(CRONOPLE!$F$14,$M262,AR$13)="",10^12,OFFSET(CRONOPLE!$F$14,$M262,AR$13))))</f>
        <v>2</v>
      </c>
      <c r="AS262" s="216">
        <f ca="1">IF($D262&lt;&gt;"Serviço",0,IF(AND(AUTOEVENTO="Manual",$M262=1),0,IF(OFFSET(CRONOPLE!$F$14,$M262,AS$13)="",10^12,OFFSET(CRONOPLE!$F$14,$M262,AS$13))))</f>
        <v>2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hidden="1" x14ac:dyDescent="0.2">
      <c r="A263" s="9" t="str">
        <f t="shared" ca="1" si="19"/>
        <v>36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6</v>
      </c>
      <c r="N263" s="212" t="str">
        <f ca="1">IF($D263&lt;&gt;"Serviço","",IF(AUTOEVENTO="Manual",IF($A263=0,"&lt;-- defina o número do agrupador",OFFSET(EVENTOS!$D$14,$A263,0)),OFFSET($F$15,$A263,0)))</f>
        <v>ENSAIOS TECNOLÓGICOS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</v>
      </c>
      <c r="AN263" s="216">
        <f ca="1">IF($D263&lt;&gt;"Serviço",0,IF(AND(AUTOEVENTO="Manual",$M263=1),0,IF(OFFSET(CRONOPLE!$F$14,$M263,AN$13)="",10^12,OFFSET(CRONOPLE!$F$14,$M263,AN$13))))</f>
        <v>1</v>
      </c>
      <c r="AO263" s="216">
        <f ca="1">IF($D263&lt;&gt;"Serviço",0,IF(AND(AUTOEVENTO="Manual",$M263=1),0,IF(OFFSET(CRONOPLE!$F$14,$M263,AO$13)="",10^12,OFFSET(CRONOPLE!$F$14,$M263,AO$13))))</f>
        <v>1</v>
      </c>
      <c r="AP263" s="216">
        <f ca="1">IF($D263&lt;&gt;"Serviço",0,IF(AND(AUTOEVENTO="Manual",$M263=1),0,IF(OFFSET(CRONOPLE!$F$14,$M263,AP$13)="",10^12,OFFSET(CRONOPLE!$F$14,$M263,AP$13))))</f>
        <v>1</v>
      </c>
      <c r="AQ263" s="216">
        <f ca="1">IF($D263&lt;&gt;"Serviço",0,IF(AND(AUTOEVENTO="Manual",$M263=1),0,IF(OFFSET(CRONOPLE!$F$14,$M263,AQ$13)="",10^12,OFFSET(CRONOPLE!$F$14,$M263,AQ$13))))</f>
        <v>2</v>
      </c>
      <c r="AR263" s="216">
        <f ca="1">IF($D263&lt;&gt;"Serviço",0,IF(AND(AUTOEVENTO="Manual",$M263=1),0,IF(OFFSET(CRONOPLE!$F$14,$M263,AR$13)="",10^12,OFFSET(CRONOPLE!$F$14,$M263,AR$13))))</f>
        <v>2</v>
      </c>
      <c r="AS263" s="216">
        <f ca="1">IF($D263&lt;&gt;"Serviço",0,IF(AND(AUTOEVENTO="Manual",$M263=1),0,IF(OFFSET(CRONOPLE!$F$14,$M263,AS$13)="",10^12,OFFSET(CRONOPLE!$F$14,$M263,AS$13))))</f>
        <v>2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hidden="1" x14ac:dyDescent="0.2">
      <c r="A264" s="9" t="str">
        <f t="shared" ca="1" si="19"/>
        <v>36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6</v>
      </c>
      <c r="N264" s="212" t="str">
        <f ca="1">IF($D264&lt;&gt;"Serviço","",IF(AUTOEVENTO="Manual",IF($A264=0,"&lt;-- defina o número do agrupador",OFFSET(EVENTOS!$D$14,$A264,0)),OFFSET($F$15,$A264,0)))</f>
        <v>ENSAIOS TECNOLÓGICOS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</v>
      </c>
      <c r="AN264" s="216">
        <f ca="1">IF($D264&lt;&gt;"Serviço",0,IF(AND(AUTOEVENTO="Manual",$M264=1),0,IF(OFFSET(CRONOPLE!$F$14,$M264,AN$13)="",10^12,OFFSET(CRONOPLE!$F$14,$M264,AN$13))))</f>
        <v>1</v>
      </c>
      <c r="AO264" s="216">
        <f ca="1">IF($D264&lt;&gt;"Serviço",0,IF(AND(AUTOEVENTO="Manual",$M264=1),0,IF(OFFSET(CRONOPLE!$F$14,$M264,AO$13)="",10^12,OFFSET(CRONOPLE!$F$14,$M264,AO$13))))</f>
        <v>1</v>
      </c>
      <c r="AP264" s="216">
        <f ca="1">IF($D264&lt;&gt;"Serviço",0,IF(AND(AUTOEVENTO="Manual",$M264=1),0,IF(OFFSET(CRONOPLE!$F$14,$M264,AP$13)="",10^12,OFFSET(CRONOPLE!$F$14,$M264,AP$13))))</f>
        <v>1</v>
      </c>
      <c r="AQ264" s="216">
        <f ca="1">IF($D264&lt;&gt;"Serviço",0,IF(AND(AUTOEVENTO="Manual",$M264=1),0,IF(OFFSET(CRONOPLE!$F$14,$M264,AQ$13)="",10^12,OFFSET(CRONOPLE!$F$14,$M264,AQ$13))))</f>
        <v>2</v>
      </c>
      <c r="AR264" s="216">
        <f ca="1">IF($D264&lt;&gt;"Serviço",0,IF(AND(AUTOEVENTO="Manual",$M264=1),0,IF(OFFSET(CRONOPLE!$F$14,$M264,AR$13)="",10^12,OFFSET(CRONOPLE!$F$14,$M264,AR$13))))</f>
        <v>2</v>
      </c>
      <c r="AS264" s="216">
        <f ca="1">IF($D264&lt;&gt;"Serviço",0,IF(AND(AUTOEVENTO="Manual",$M264=1),0,IF(OFFSET(CRONOPLE!$F$14,$M264,AS$13)="",10^12,OFFSET(CRONOPLE!$F$14,$M264,AS$13))))</f>
        <v>2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hidden="1" x14ac:dyDescent="0.2">
      <c r="A265" s="9" t="str">
        <f t="shared" ca="1" si="19"/>
        <v>36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6</v>
      </c>
      <c r="N265" s="212" t="str">
        <f ca="1">IF($D265&lt;&gt;"Serviço","",IF(AUTOEVENTO="Manual",IF($A265=0,"&lt;-- defina o número do agrupador",OFFSET(EVENTOS!$D$14,$A265,0)),OFFSET($F$15,$A265,0)))</f>
        <v>ENSAIOS TECNOLÓGICOS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</v>
      </c>
      <c r="AN265" s="216">
        <f ca="1">IF($D265&lt;&gt;"Serviço",0,IF(AND(AUTOEVENTO="Manual",$M265=1),0,IF(OFFSET(CRONOPLE!$F$14,$M265,AN$13)="",10^12,OFFSET(CRONOPLE!$F$14,$M265,AN$13))))</f>
        <v>1</v>
      </c>
      <c r="AO265" s="216">
        <f ca="1">IF($D265&lt;&gt;"Serviço",0,IF(AND(AUTOEVENTO="Manual",$M265=1),0,IF(OFFSET(CRONOPLE!$F$14,$M265,AO$13)="",10^12,OFFSET(CRONOPLE!$F$14,$M265,AO$13))))</f>
        <v>1</v>
      </c>
      <c r="AP265" s="216">
        <f ca="1">IF($D265&lt;&gt;"Serviço",0,IF(AND(AUTOEVENTO="Manual",$M265=1),0,IF(OFFSET(CRONOPLE!$F$14,$M265,AP$13)="",10^12,OFFSET(CRONOPLE!$F$14,$M265,AP$13))))</f>
        <v>1</v>
      </c>
      <c r="AQ265" s="216">
        <f ca="1">IF($D265&lt;&gt;"Serviço",0,IF(AND(AUTOEVENTO="Manual",$M265=1),0,IF(OFFSET(CRONOPLE!$F$14,$M265,AQ$13)="",10^12,OFFSET(CRONOPLE!$F$14,$M265,AQ$13))))</f>
        <v>2</v>
      </c>
      <c r="AR265" s="216">
        <f ca="1">IF($D265&lt;&gt;"Serviço",0,IF(AND(AUTOEVENTO="Manual",$M265=1),0,IF(OFFSET(CRONOPLE!$F$14,$M265,AR$13)="",10^12,OFFSET(CRONOPLE!$F$14,$M265,AR$13))))</f>
        <v>2</v>
      </c>
      <c r="AS265" s="216">
        <f ca="1">IF($D265&lt;&gt;"Serviço",0,IF(AND(AUTOEVENTO="Manual",$M265=1),0,IF(OFFSET(CRONOPLE!$F$14,$M265,AS$13)="",10^12,OFFSET(CRONOPLE!$F$14,$M265,AS$13))))</f>
        <v>2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CÉU AZUL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GUSTAVO FRANCESCHINI</v>
      </c>
      <c r="K272" s="97"/>
      <c r="L272" s="97"/>
      <c r="T272" s="604" t="str">
        <f t="array" aca="1" ref="T272:T274" ca="1">OFFSET(Import.RespOrçamento,0,-1) &amp; " " &amp; Import.RespOrçamento</f>
        <v>Nome: GUSTAVO FRANCESCHINI</v>
      </c>
      <c r="U272" s="96"/>
    </row>
    <row r="273" spans="3:21" ht="12.75" customHeight="1" x14ac:dyDescent="0.2">
      <c r="F273" s="601">
        <f ca="1">DADOS!$F$25</f>
        <v>44134</v>
      </c>
      <c r="I273" s="604" t="str">
        <f ca="1"/>
        <v>CREA/CAU: 126178/D - PR</v>
      </c>
      <c r="K273" s="97"/>
      <c r="L273" s="97"/>
      <c r="T273" s="604" t="str">
        <f ca="1"/>
        <v>CREA/CAU: 126178/D - PR</v>
      </c>
      <c r="U273" s="96"/>
    </row>
    <row r="274" spans="3:21" ht="12.75" customHeight="1" x14ac:dyDescent="0.2">
      <c r="F274" s="178" t="s">
        <v>188</v>
      </c>
      <c r="I274" s="604" t="str">
        <f ca="1"/>
        <v>ART/RRT: 1720204868649</v>
      </c>
      <c r="K274" s="97"/>
      <c r="L274" s="97"/>
      <c r="T274" s="604" t="str">
        <f ca="1"/>
        <v>ART/RRT: 1720204868649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algorithmName="SHA-512" hashValue="Wx103BbinZevJBwrlgCqVJ26fdgYg6wXrTa01WDosbqOSomn1AWvNLVRRPODU0YxW3Gqm7L6dBin/SHtg6frhg==" saltValue="IgqRuDj0YYaAP1ner67dug==" spinCount="100000" sheet="1" autoFilter="0"/>
  <autoFilter ref="C15:C266">
    <filterColumn colId="0">
      <customFilters>
        <customFilter operator="notEqual" val=" "/>
      </customFilters>
    </filterColumn>
  </autoFilter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40" type="noConversion"/>
  <conditionalFormatting sqref="D14:I14">
    <cfRule type="expression" dxfId="704" priority="4724" stopIfTrue="1">
      <formula>$B14=1</formula>
    </cfRule>
    <cfRule type="expression" dxfId="703" priority="4725" stopIfTrue="1">
      <formula>OR($B14=0,$B14=2,$B14=3,$B14=4)</formula>
    </cfRule>
  </conditionalFormatting>
  <conditionalFormatting sqref="M12:N15 M266:N266">
    <cfRule type="expression" dxfId="702" priority="4726" stopIfTrue="1">
      <formula>ACOMPANHAMENTO="BM"</formula>
    </cfRule>
    <cfRule type="expression" dxfId="701" priority="4727" stopIfTrue="1">
      <formula>OR($B12=0,$B12=2,$B12=3,$B12=4)</formula>
    </cfRule>
    <cfRule type="expression" dxfId="700" priority="4728" stopIfTrue="1">
      <formula>$B12=1</formula>
    </cfRule>
  </conditionalFormatting>
  <conditionalFormatting sqref="K12:K15 K266">
    <cfRule type="expression" dxfId="699" priority="4729" stopIfTrue="1">
      <formula>OR(ACOMPANHAMENTO="BM",$A$12&lt;&gt;"Manual")</formula>
    </cfRule>
    <cfRule type="expression" dxfId="698" priority="4730" stopIfTrue="1">
      <formula>$B12=1</formula>
    </cfRule>
    <cfRule type="expression" dxfId="697" priority="4731" stopIfTrue="1">
      <formula>OR($B12=2,$B12=3,$B12=4,$B12=0)</formula>
    </cfRule>
  </conditionalFormatting>
  <conditionalFormatting sqref="O12:AA15 O266:AA266">
    <cfRule type="expression" dxfId="696" priority="4732" stopIfTrue="1">
      <formula>ACOMPANHAMENTO="BM"</formula>
    </cfRule>
    <cfRule type="expression" dxfId="695" priority="4733" stopIfTrue="1">
      <formula>AND(O$12&lt;&gt;".",OR($B12=0,$B12=2,$B12=3,$B12=4,AND(O$12="",$B12&lt;&gt;"Empty"),OFFSET(O$12,0,-1)=""))</formula>
    </cfRule>
    <cfRule type="expression" dxfId="694" priority="4734" stopIfTrue="1">
      <formula>AND($B12=1,O$12&lt;&gt;".")</formula>
    </cfRule>
  </conditionalFormatting>
  <conditionalFormatting sqref="D16:I18 D20:I23 D19:H19 D24:H24">
    <cfRule type="expression" dxfId="693" priority="346" stopIfTrue="1">
      <formula>$B16=1</formula>
    </cfRule>
    <cfRule type="expression" dxfId="692" priority="347" stopIfTrue="1">
      <formula>OR($B16=0,$B16=2,$B16=3,$B16=4)</formula>
    </cfRule>
  </conditionalFormatting>
  <conditionalFormatting sqref="M16:N24">
    <cfRule type="expression" dxfId="691" priority="348" stopIfTrue="1">
      <formula>ACOMPANHAMENTO="BM"</formula>
    </cfRule>
    <cfRule type="expression" dxfId="690" priority="349" stopIfTrue="1">
      <formula>OR($B16=0,$B16=2,$B16=3,$B16=4)</formula>
    </cfRule>
    <cfRule type="expression" dxfId="689" priority="350" stopIfTrue="1">
      <formula>$B16=1</formula>
    </cfRule>
  </conditionalFormatting>
  <conditionalFormatting sqref="K16:K24">
    <cfRule type="expression" dxfId="688" priority="351" stopIfTrue="1">
      <formula>OR(ACOMPANHAMENTO="BM",$A$12&lt;&gt;"Manual")</formula>
    </cfRule>
    <cfRule type="expression" dxfId="687" priority="352" stopIfTrue="1">
      <formula>$B16=1</formula>
    </cfRule>
    <cfRule type="expression" dxfId="686" priority="353" stopIfTrue="1">
      <formula>OR($B16=2,$B16=3,$B16=4,$B16=0)</formula>
    </cfRule>
  </conditionalFormatting>
  <conditionalFormatting sqref="O16:AA24">
    <cfRule type="expression" dxfId="685" priority="354" stopIfTrue="1">
      <formula>ACOMPANHAMENTO="BM"</formula>
    </cfRule>
    <cfRule type="expression" dxfId="684" priority="355" stopIfTrue="1">
      <formula>AND(O$12&lt;&gt;".",OR($B16=0,$B16=2,$B16=3,$B16=4,AND(O$12="",$B16&lt;&gt;"Empty"),OFFSET(O$12,0,-1)=""))</formula>
    </cfRule>
    <cfRule type="expression" dxfId="683" priority="356" stopIfTrue="1">
      <formula>AND($B16=1,O$12&lt;&gt;".")</formula>
    </cfRule>
  </conditionalFormatting>
  <conditionalFormatting sqref="D32:I32 D31:H31 D33:H33 D25:I25 D28:I30 D26:H27">
    <cfRule type="expression" dxfId="682" priority="335" stopIfTrue="1">
      <formula>$B25=1</formula>
    </cfRule>
    <cfRule type="expression" dxfId="681" priority="336" stopIfTrue="1">
      <formula>OR($B25=0,$B25=2,$B25=3,$B25=4)</formula>
    </cfRule>
  </conditionalFormatting>
  <conditionalFormatting sqref="M25:N33">
    <cfRule type="expression" dxfId="680" priority="337" stopIfTrue="1">
      <formula>ACOMPANHAMENTO="BM"</formula>
    </cfRule>
    <cfRule type="expression" dxfId="679" priority="338" stopIfTrue="1">
      <formula>OR($B25=0,$B25=2,$B25=3,$B25=4)</formula>
    </cfRule>
    <cfRule type="expression" dxfId="678" priority="339" stopIfTrue="1">
      <formula>$B25=1</formula>
    </cfRule>
  </conditionalFormatting>
  <conditionalFormatting sqref="K25:K33">
    <cfRule type="expression" dxfId="677" priority="340" stopIfTrue="1">
      <formula>OR(ACOMPANHAMENTO="BM",$A$12&lt;&gt;"Manual")</formula>
    </cfRule>
    <cfRule type="expression" dxfId="676" priority="341" stopIfTrue="1">
      <formula>$B25=1</formula>
    </cfRule>
    <cfRule type="expression" dxfId="675" priority="342" stopIfTrue="1">
      <formula>OR($B25=2,$B25=3,$B25=4,$B25=0)</formula>
    </cfRule>
  </conditionalFormatting>
  <conditionalFormatting sqref="O25:AA30 O31:P33 V31:AA33">
    <cfRule type="expression" dxfId="674" priority="343" stopIfTrue="1">
      <formula>ACOMPANHAMENTO="BM"</formula>
    </cfRule>
    <cfRule type="expression" dxfId="673" priority="344" stopIfTrue="1">
      <formula>AND(O$12&lt;&gt;".",OR($B25=0,$B25=2,$B25=3,$B25=4,AND(O$12="",$B25&lt;&gt;"Empty"),OFFSET(O$12,0,-1)=""))</formula>
    </cfRule>
    <cfRule type="expression" dxfId="672" priority="345" stopIfTrue="1">
      <formula>AND($B25=1,O$12&lt;&gt;".")</formula>
    </cfRule>
  </conditionalFormatting>
  <conditionalFormatting sqref="D34:I41 D42:H42">
    <cfRule type="expression" dxfId="671" priority="324" stopIfTrue="1">
      <formula>$B34=1</formula>
    </cfRule>
    <cfRule type="expression" dxfId="670" priority="325" stopIfTrue="1">
      <formula>OR($B34=0,$B34=2,$B34=3,$B34=4)</formula>
    </cfRule>
  </conditionalFormatting>
  <conditionalFormatting sqref="M34:N42">
    <cfRule type="expression" dxfId="669" priority="326" stopIfTrue="1">
      <formula>ACOMPANHAMENTO="BM"</formula>
    </cfRule>
    <cfRule type="expression" dxfId="668" priority="327" stopIfTrue="1">
      <formula>OR($B34=0,$B34=2,$B34=3,$B34=4)</formula>
    </cfRule>
    <cfRule type="expression" dxfId="667" priority="328" stopIfTrue="1">
      <formula>$B34=1</formula>
    </cfRule>
  </conditionalFormatting>
  <conditionalFormatting sqref="K34:K42">
    <cfRule type="expression" dxfId="666" priority="329" stopIfTrue="1">
      <formula>OR(ACOMPANHAMENTO="BM",$A$12&lt;&gt;"Manual")</formula>
    </cfRule>
    <cfRule type="expression" dxfId="665" priority="330" stopIfTrue="1">
      <formula>$B34=1</formula>
    </cfRule>
    <cfRule type="expression" dxfId="664" priority="331" stopIfTrue="1">
      <formula>OR($B34=2,$B34=3,$B34=4,$B34=0)</formula>
    </cfRule>
  </conditionalFormatting>
  <conditionalFormatting sqref="O35:AA42 O34:P34 V34:AA34">
    <cfRule type="expression" dxfId="663" priority="332" stopIfTrue="1">
      <formula>ACOMPANHAMENTO="BM"</formula>
    </cfRule>
    <cfRule type="expression" dxfId="662" priority="333" stopIfTrue="1">
      <formula>AND(O$12&lt;&gt;".",OR($B34=0,$B34=2,$B34=3,$B34=4,AND(O$12="",$B34&lt;&gt;"Empty"),OFFSET(O$12,0,-1)=""))</formula>
    </cfRule>
    <cfRule type="expression" dxfId="661" priority="334" stopIfTrue="1">
      <formula>AND($B34=1,O$12&lt;&gt;".")</formula>
    </cfRule>
  </conditionalFormatting>
  <conditionalFormatting sqref="D44:I51 D43:H43">
    <cfRule type="expression" dxfId="660" priority="313" stopIfTrue="1">
      <formula>$B43=1</formula>
    </cfRule>
    <cfRule type="expression" dxfId="659" priority="314" stopIfTrue="1">
      <formula>OR($B43=0,$B43=2,$B43=3,$B43=4)</formula>
    </cfRule>
  </conditionalFormatting>
  <conditionalFormatting sqref="M43:N51">
    <cfRule type="expression" dxfId="658" priority="315" stopIfTrue="1">
      <formula>ACOMPANHAMENTO="BM"</formula>
    </cfRule>
    <cfRule type="expression" dxfId="657" priority="316" stopIfTrue="1">
      <formula>OR($B43=0,$B43=2,$B43=3,$B43=4)</formula>
    </cfRule>
    <cfRule type="expression" dxfId="656" priority="317" stopIfTrue="1">
      <formula>$B43=1</formula>
    </cfRule>
  </conditionalFormatting>
  <conditionalFormatting sqref="K43:K51">
    <cfRule type="expression" dxfId="655" priority="318" stopIfTrue="1">
      <formula>OR(ACOMPANHAMENTO="BM",$A$12&lt;&gt;"Manual")</formula>
    </cfRule>
    <cfRule type="expression" dxfId="654" priority="319" stopIfTrue="1">
      <formula>$B43=1</formula>
    </cfRule>
    <cfRule type="expression" dxfId="653" priority="320" stopIfTrue="1">
      <formula>OR($B43=2,$B43=3,$B43=4,$B43=0)</formula>
    </cfRule>
  </conditionalFormatting>
  <conditionalFormatting sqref="O43:AA51">
    <cfRule type="expression" dxfId="652" priority="321" stopIfTrue="1">
      <formula>ACOMPANHAMENTO="BM"</formula>
    </cfRule>
    <cfRule type="expression" dxfId="651" priority="322" stopIfTrue="1">
      <formula>AND(O$12&lt;&gt;".",OR($B43=0,$B43=2,$B43=3,$B43=4,AND(O$12="",$B43&lt;&gt;"Empty"),OFFSET(O$12,0,-1)=""))</formula>
    </cfRule>
    <cfRule type="expression" dxfId="650" priority="323" stopIfTrue="1">
      <formula>AND($B43=1,O$12&lt;&gt;".")</formula>
    </cfRule>
  </conditionalFormatting>
  <conditionalFormatting sqref="D52:I60">
    <cfRule type="expression" dxfId="649" priority="302" stopIfTrue="1">
      <formula>$B52=1</formula>
    </cfRule>
    <cfRule type="expression" dxfId="648" priority="303" stopIfTrue="1">
      <formula>OR($B52=0,$B52=2,$B52=3,$B52=4)</formula>
    </cfRule>
  </conditionalFormatting>
  <conditionalFormatting sqref="M52:N60">
    <cfRule type="expression" dxfId="647" priority="304" stopIfTrue="1">
      <formula>ACOMPANHAMENTO="BM"</formula>
    </cfRule>
    <cfRule type="expression" dxfId="646" priority="305" stopIfTrue="1">
      <formula>OR($B52=0,$B52=2,$B52=3,$B52=4)</formula>
    </cfRule>
    <cfRule type="expression" dxfId="645" priority="306" stopIfTrue="1">
      <formula>$B52=1</formula>
    </cfRule>
  </conditionalFormatting>
  <conditionalFormatting sqref="K52:K60">
    <cfRule type="expression" dxfId="644" priority="307" stopIfTrue="1">
      <formula>OR(ACOMPANHAMENTO="BM",$A$12&lt;&gt;"Manual")</formula>
    </cfRule>
    <cfRule type="expression" dxfId="643" priority="308" stopIfTrue="1">
      <formula>$B52=1</formula>
    </cfRule>
    <cfRule type="expression" dxfId="642" priority="309" stopIfTrue="1">
      <formula>OR($B52=2,$B52=3,$B52=4,$B52=0)</formula>
    </cfRule>
  </conditionalFormatting>
  <conditionalFormatting sqref="O52:AA60">
    <cfRule type="expression" dxfId="641" priority="310" stopIfTrue="1">
      <formula>ACOMPANHAMENTO="BM"</formula>
    </cfRule>
    <cfRule type="expression" dxfId="640" priority="311" stopIfTrue="1">
      <formula>AND(O$12&lt;&gt;".",OR($B52=0,$B52=2,$B52=3,$B52=4,AND(O$12="",$B52&lt;&gt;"Empty"),OFFSET(O$12,0,-1)=""))</formula>
    </cfRule>
    <cfRule type="expression" dxfId="639" priority="312" stopIfTrue="1">
      <formula>AND($B52=1,O$12&lt;&gt;".")</formula>
    </cfRule>
  </conditionalFormatting>
  <conditionalFormatting sqref="D61:I69">
    <cfRule type="expression" dxfId="638" priority="291" stopIfTrue="1">
      <formula>$B61=1</formula>
    </cfRule>
    <cfRule type="expression" dxfId="637" priority="292" stopIfTrue="1">
      <formula>OR($B61=0,$B61=2,$B61=3,$B61=4)</formula>
    </cfRule>
  </conditionalFormatting>
  <conditionalFormatting sqref="M61:N69">
    <cfRule type="expression" dxfId="636" priority="293" stopIfTrue="1">
      <formula>ACOMPANHAMENTO="BM"</formula>
    </cfRule>
    <cfRule type="expression" dxfId="635" priority="294" stopIfTrue="1">
      <formula>OR($B61=0,$B61=2,$B61=3,$B61=4)</formula>
    </cfRule>
    <cfRule type="expression" dxfId="634" priority="295" stopIfTrue="1">
      <formula>$B61=1</formula>
    </cfRule>
  </conditionalFormatting>
  <conditionalFormatting sqref="K61:K69">
    <cfRule type="expression" dxfId="633" priority="296" stopIfTrue="1">
      <formula>OR(ACOMPANHAMENTO="BM",$A$12&lt;&gt;"Manual")</formula>
    </cfRule>
    <cfRule type="expression" dxfId="632" priority="297" stopIfTrue="1">
      <formula>$B61=1</formula>
    </cfRule>
    <cfRule type="expression" dxfId="631" priority="298" stopIfTrue="1">
      <formula>OR($B61=2,$B61=3,$B61=4,$B61=0)</formula>
    </cfRule>
  </conditionalFormatting>
  <conditionalFormatting sqref="O61:AA69">
    <cfRule type="expression" dxfId="630" priority="299" stopIfTrue="1">
      <formula>ACOMPANHAMENTO="BM"</formula>
    </cfRule>
    <cfRule type="expression" dxfId="629" priority="300" stopIfTrue="1">
      <formula>AND(O$12&lt;&gt;".",OR($B61=0,$B61=2,$B61=3,$B61=4,AND(O$12="",$B61&lt;&gt;"Empty"),OFFSET(O$12,0,-1)=""))</formula>
    </cfRule>
    <cfRule type="expression" dxfId="628" priority="301" stopIfTrue="1">
      <formula>AND($B61=1,O$12&lt;&gt;".")</formula>
    </cfRule>
  </conditionalFormatting>
  <conditionalFormatting sqref="D70:I78">
    <cfRule type="expression" dxfId="627" priority="280" stopIfTrue="1">
      <formula>$B70=1</formula>
    </cfRule>
    <cfRule type="expression" dxfId="626" priority="281" stopIfTrue="1">
      <formula>OR($B70=0,$B70=2,$B70=3,$B70=4)</formula>
    </cfRule>
  </conditionalFormatting>
  <conditionalFormatting sqref="M70:N78">
    <cfRule type="expression" dxfId="625" priority="282" stopIfTrue="1">
      <formula>ACOMPANHAMENTO="BM"</formula>
    </cfRule>
    <cfRule type="expression" dxfId="624" priority="283" stopIfTrue="1">
      <formula>OR($B70=0,$B70=2,$B70=3,$B70=4)</formula>
    </cfRule>
    <cfRule type="expression" dxfId="623" priority="284" stopIfTrue="1">
      <formula>$B70=1</formula>
    </cfRule>
  </conditionalFormatting>
  <conditionalFormatting sqref="K70:K78">
    <cfRule type="expression" dxfId="622" priority="285" stopIfTrue="1">
      <formula>OR(ACOMPANHAMENTO="BM",$A$12&lt;&gt;"Manual")</formula>
    </cfRule>
    <cfRule type="expression" dxfId="621" priority="286" stopIfTrue="1">
      <formula>$B70=1</formula>
    </cfRule>
    <cfRule type="expression" dxfId="620" priority="287" stopIfTrue="1">
      <formula>OR($B70=2,$B70=3,$B70=4,$B70=0)</formula>
    </cfRule>
  </conditionalFormatting>
  <conditionalFormatting sqref="O70:AA78">
    <cfRule type="expression" dxfId="619" priority="288" stopIfTrue="1">
      <formula>ACOMPANHAMENTO="BM"</formula>
    </cfRule>
    <cfRule type="expression" dxfId="618" priority="289" stopIfTrue="1">
      <formula>AND(O$12&lt;&gt;".",OR($B70=0,$B70=2,$B70=3,$B70=4,AND(O$12="",$B70&lt;&gt;"Empty"),OFFSET(O$12,0,-1)=""))</formula>
    </cfRule>
    <cfRule type="expression" dxfId="617" priority="290" stopIfTrue="1">
      <formula>AND($B70=1,O$12&lt;&gt;".")</formula>
    </cfRule>
  </conditionalFormatting>
  <conditionalFormatting sqref="D79:I87">
    <cfRule type="expression" dxfId="616" priority="269" stopIfTrue="1">
      <formula>$B79=1</formula>
    </cfRule>
    <cfRule type="expression" dxfId="615" priority="270" stopIfTrue="1">
      <formula>OR($B79=0,$B79=2,$B79=3,$B79=4)</formula>
    </cfRule>
  </conditionalFormatting>
  <conditionalFormatting sqref="M79:N87">
    <cfRule type="expression" dxfId="614" priority="271" stopIfTrue="1">
      <formula>ACOMPANHAMENTO="BM"</formula>
    </cfRule>
    <cfRule type="expression" dxfId="613" priority="272" stopIfTrue="1">
      <formula>OR($B79=0,$B79=2,$B79=3,$B79=4)</formula>
    </cfRule>
    <cfRule type="expression" dxfId="612" priority="273" stopIfTrue="1">
      <formula>$B79=1</formula>
    </cfRule>
  </conditionalFormatting>
  <conditionalFormatting sqref="K79:K87">
    <cfRule type="expression" dxfId="611" priority="274" stopIfTrue="1">
      <formula>OR(ACOMPANHAMENTO="BM",$A$12&lt;&gt;"Manual")</formula>
    </cfRule>
    <cfRule type="expression" dxfId="610" priority="275" stopIfTrue="1">
      <formula>$B79=1</formula>
    </cfRule>
    <cfRule type="expression" dxfId="609" priority="276" stopIfTrue="1">
      <formula>OR($B79=2,$B79=3,$B79=4,$B79=0)</formula>
    </cfRule>
  </conditionalFormatting>
  <conditionalFormatting sqref="O79:AA87">
    <cfRule type="expression" dxfId="608" priority="277" stopIfTrue="1">
      <formula>ACOMPANHAMENTO="BM"</formula>
    </cfRule>
    <cfRule type="expression" dxfId="607" priority="278" stopIfTrue="1">
      <formula>AND(O$12&lt;&gt;".",OR($B79=0,$B79=2,$B79=3,$B79=4,AND(O$12="",$B79&lt;&gt;"Empty"),OFFSET(O$12,0,-1)=""))</formula>
    </cfRule>
    <cfRule type="expression" dxfId="606" priority="279" stopIfTrue="1">
      <formula>AND($B79=1,O$12&lt;&gt;".")</formula>
    </cfRule>
  </conditionalFormatting>
  <conditionalFormatting sqref="D88:I96">
    <cfRule type="expression" dxfId="605" priority="258" stopIfTrue="1">
      <formula>$B88=1</formula>
    </cfRule>
    <cfRule type="expression" dxfId="604" priority="259" stopIfTrue="1">
      <formula>OR($B88=0,$B88=2,$B88=3,$B88=4)</formula>
    </cfRule>
  </conditionalFormatting>
  <conditionalFormatting sqref="M88:N96">
    <cfRule type="expression" dxfId="603" priority="260" stopIfTrue="1">
      <formula>ACOMPANHAMENTO="BM"</formula>
    </cfRule>
    <cfRule type="expression" dxfId="602" priority="261" stopIfTrue="1">
      <formula>OR($B88=0,$B88=2,$B88=3,$B88=4)</formula>
    </cfRule>
    <cfRule type="expression" dxfId="601" priority="262" stopIfTrue="1">
      <formula>$B88=1</formula>
    </cfRule>
  </conditionalFormatting>
  <conditionalFormatting sqref="K88:K96">
    <cfRule type="expression" dxfId="600" priority="263" stopIfTrue="1">
      <formula>OR(ACOMPANHAMENTO="BM",$A$12&lt;&gt;"Manual")</formula>
    </cfRule>
    <cfRule type="expression" dxfId="599" priority="264" stopIfTrue="1">
      <formula>$B88=1</formula>
    </cfRule>
    <cfRule type="expression" dxfId="598" priority="265" stopIfTrue="1">
      <formula>OR($B88=2,$B88=3,$B88=4,$B88=0)</formula>
    </cfRule>
  </conditionalFormatting>
  <conditionalFormatting sqref="O88:AA96">
    <cfRule type="expression" dxfId="597" priority="266" stopIfTrue="1">
      <formula>ACOMPANHAMENTO="BM"</formula>
    </cfRule>
    <cfRule type="expression" dxfId="596" priority="267" stopIfTrue="1">
      <formula>AND(O$12&lt;&gt;".",OR($B88=0,$B88=2,$B88=3,$B88=4,AND(O$12="",$B88&lt;&gt;"Empty"),OFFSET(O$12,0,-1)=""))</formula>
    </cfRule>
    <cfRule type="expression" dxfId="595" priority="268" stopIfTrue="1">
      <formula>AND($B88=1,O$12&lt;&gt;".")</formula>
    </cfRule>
  </conditionalFormatting>
  <conditionalFormatting sqref="D97:I105">
    <cfRule type="expression" dxfId="594" priority="247" stopIfTrue="1">
      <formula>$B97=1</formula>
    </cfRule>
    <cfRule type="expression" dxfId="593" priority="248" stopIfTrue="1">
      <formula>OR($B97=0,$B97=2,$B97=3,$B97=4)</formula>
    </cfRule>
  </conditionalFormatting>
  <conditionalFormatting sqref="M97:N105">
    <cfRule type="expression" dxfId="592" priority="249" stopIfTrue="1">
      <formula>ACOMPANHAMENTO="BM"</formula>
    </cfRule>
    <cfRule type="expression" dxfId="591" priority="250" stopIfTrue="1">
      <formula>OR($B97=0,$B97=2,$B97=3,$B97=4)</formula>
    </cfRule>
    <cfRule type="expression" dxfId="590" priority="251" stopIfTrue="1">
      <formula>$B97=1</formula>
    </cfRule>
  </conditionalFormatting>
  <conditionalFormatting sqref="K97:K105">
    <cfRule type="expression" dxfId="589" priority="252" stopIfTrue="1">
      <formula>OR(ACOMPANHAMENTO="BM",$A$12&lt;&gt;"Manual")</formula>
    </cfRule>
    <cfRule type="expression" dxfId="588" priority="253" stopIfTrue="1">
      <formula>$B97=1</formula>
    </cfRule>
    <cfRule type="expression" dxfId="587" priority="254" stopIfTrue="1">
      <formula>OR($B97=2,$B97=3,$B97=4,$B97=0)</formula>
    </cfRule>
  </conditionalFormatting>
  <conditionalFormatting sqref="O97:AA105">
    <cfRule type="expression" dxfId="586" priority="255" stopIfTrue="1">
      <formula>ACOMPANHAMENTO="BM"</formula>
    </cfRule>
    <cfRule type="expression" dxfId="585" priority="256" stopIfTrue="1">
      <formula>AND(O$12&lt;&gt;".",OR($B97=0,$B97=2,$B97=3,$B97=4,AND(O$12="",$B97&lt;&gt;"Empty"),OFFSET(O$12,0,-1)=""))</formula>
    </cfRule>
    <cfRule type="expression" dxfId="584" priority="257" stopIfTrue="1">
      <formula>AND($B97=1,O$12&lt;&gt;".")</formula>
    </cfRule>
  </conditionalFormatting>
  <conditionalFormatting sqref="D106:I114">
    <cfRule type="expression" dxfId="583" priority="236" stopIfTrue="1">
      <formula>$B106=1</formula>
    </cfRule>
    <cfRule type="expression" dxfId="582" priority="237" stopIfTrue="1">
      <formula>OR($B106=0,$B106=2,$B106=3,$B106=4)</formula>
    </cfRule>
  </conditionalFormatting>
  <conditionalFormatting sqref="M106:N114">
    <cfRule type="expression" dxfId="581" priority="238" stopIfTrue="1">
      <formula>ACOMPANHAMENTO="BM"</formula>
    </cfRule>
    <cfRule type="expression" dxfId="580" priority="239" stopIfTrue="1">
      <formula>OR($B106=0,$B106=2,$B106=3,$B106=4)</formula>
    </cfRule>
    <cfRule type="expression" dxfId="579" priority="240" stopIfTrue="1">
      <formula>$B106=1</formula>
    </cfRule>
  </conditionalFormatting>
  <conditionalFormatting sqref="K106:K114">
    <cfRule type="expression" dxfId="578" priority="241" stopIfTrue="1">
      <formula>OR(ACOMPANHAMENTO="BM",$A$12&lt;&gt;"Manual")</formula>
    </cfRule>
    <cfRule type="expression" dxfId="577" priority="242" stopIfTrue="1">
      <formula>$B106=1</formula>
    </cfRule>
    <cfRule type="expression" dxfId="576" priority="243" stopIfTrue="1">
      <formula>OR($B106=2,$B106=3,$B106=4,$B106=0)</formula>
    </cfRule>
  </conditionalFormatting>
  <conditionalFormatting sqref="O106:AA114">
    <cfRule type="expression" dxfId="575" priority="244" stopIfTrue="1">
      <formula>ACOMPANHAMENTO="BM"</formula>
    </cfRule>
    <cfRule type="expression" dxfId="574" priority="245" stopIfTrue="1">
      <formula>AND(O$12&lt;&gt;".",OR($B106=0,$B106=2,$B106=3,$B106=4,AND(O$12="",$B106&lt;&gt;"Empty"),OFFSET(O$12,0,-1)=""))</formula>
    </cfRule>
    <cfRule type="expression" dxfId="573" priority="246" stopIfTrue="1">
      <formula>AND($B106=1,O$12&lt;&gt;".")</formula>
    </cfRule>
  </conditionalFormatting>
  <conditionalFormatting sqref="D115:I123">
    <cfRule type="expression" dxfId="572" priority="225" stopIfTrue="1">
      <formula>$B115=1</formula>
    </cfRule>
    <cfRule type="expression" dxfId="571" priority="226" stopIfTrue="1">
      <formula>OR($B115=0,$B115=2,$B115=3,$B115=4)</formula>
    </cfRule>
  </conditionalFormatting>
  <conditionalFormatting sqref="M115:N123">
    <cfRule type="expression" dxfId="570" priority="227" stopIfTrue="1">
      <formula>ACOMPANHAMENTO="BM"</formula>
    </cfRule>
    <cfRule type="expression" dxfId="569" priority="228" stopIfTrue="1">
      <formula>OR($B115=0,$B115=2,$B115=3,$B115=4)</formula>
    </cfRule>
    <cfRule type="expression" dxfId="568" priority="229" stopIfTrue="1">
      <formula>$B115=1</formula>
    </cfRule>
  </conditionalFormatting>
  <conditionalFormatting sqref="K115:K123">
    <cfRule type="expression" dxfId="567" priority="230" stopIfTrue="1">
      <formula>OR(ACOMPANHAMENTO="BM",$A$12&lt;&gt;"Manual")</formula>
    </cfRule>
    <cfRule type="expression" dxfId="566" priority="231" stopIfTrue="1">
      <formula>$B115=1</formula>
    </cfRule>
    <cfRule type="expression" dxfId="565" priority="232" stopIfTrue="1">
      <formula>OR($B115=2,$B115=3,$B115=4,$B115=0)</formula>
    </cfRule>
  </conditionalFormatting>
  <conditionalFormatting sqref="O115:AA123">
    <cfRule type="expression" dxfId="564" priority="233" stopIfTrue="1">
      <formula>ACOMPANHAMENTO="BM"</formula>
    </cfRule>
    <cfRule type="expression" dxfId="563" priority="234" stopIfTrue="1">
      <formula>AND(O$12&lt;&gt;".",OR($B115=0,$B115=2,$B115=3,$B115=4,AND(O$12="",$B115&lt;&gt;"Empty"),OFFSET(O$12,0,-1)=""))</formula>
    </cfRule>
    <cfRule type="expression" dxfId="562" priority="235" stopIfTrue="1">
      <formula>AND($B115=1,O$12&lt;&gt;".")</formula>
    </cfRule>
  </conditionalFormatting>
  <conditionalFormatting sqref="D124:I132">
    <cfRule type="expression" dxfId="561" priority="214" stopIfTrue="1">
      <formula>$B124=1</formula>
    </cfRule>
    <cfRule type="expression" dxfId="560" priority="215" stopIfTrue="1">
      <formula>OR($B124=0,$B124=2,$B124=3,$B124=4)</formula>
    </cfRule>
  </conditionalFormatting>
  <conditionalFormatting sqref="M124:N132">
    <cfRule type="expression" dxfId="559" priority="216" stopIfTrue="1">
      <formula>ACOMPANHAMENTO="BM"</formula>
    </cfRule>
    <cfRule type="expression" dxfId="558" priority="217" stopIfTrue="1">
      <formula>OR($B124=0,$B124=2,$B124=3,$B124=4)</formula>
    </cfRule>
    <cfRule type="expression" dxfId="557" priority="218" stopIfTrue="1">
      <formula>$B124=1</formula>
    </cfRule>
  </conditionalFormatting>
  <conditionalFormatting sqref="K124:K132">
    <cfRule type="expression" dxfId="556" priority="219" stopIfTrue="1">
      <formula>OR(ACOMPANHAMENTO="BM",$A$12&lt;&gt;"Manual")</formula>
    </cfRule>
    <cfRule type="expression" dxfId="555" priority="220" stopIfTrue="1">
      <formula>$B124=1</formula>
    </cfRule>
    <cfRule type="expression" dxfId="554" priority="221" stopIfTrue="1">
      <formula>OR($B124=2,$B124=3,$B124=4,$B124=0)</formula>
    </cfRule>
  </conditionalFormatting>
  <conditionalFormatting sqref="O124:AA132">
    <cfRule type="expression" dxfId="553" priority="222" stopIfTrue="1">
      <formula>ACOMPANHAMENTO="BM"</formula>
    </cfRule>
    <cfRule type="expression" dxfId="552" priority="223" stopIfTrue="1">
      <formula>AND(O$12&lt;&gt;".",OR($B124=0,$B124=2,$B124=3,$B124=4,AND(O$12="",$B124&lt;&gt;"Empty"),OFFSET(O$12,0,-1)=""))</formula>
    </cfRule>
    <cfRule type="expression" dxfId="551" priority="224" stopIfTrue="1">
      <formula>AND($B124=1,O$12&lt;&gt;".")</formula>
    </cfRule>
  </conditionalFormatting>
  <conditionalFormatting sqref="D133:I141">
    <cfRule type="expression" dxfId="550" priority="203" stopIfTrue="1">
      <formula>$B133=1</formula>
    </cfRule>
    <cfRule type="expression" dxfId="549" priority="204" stopIfTrue="1">
      <formula>OR($B133=0,$B133=2,$B133=3,$B133=4)</formula>
    </cfRule>
  </conditionalFormatting>
  <conditionalFormatting sqref="M133:N141">
    <cfRule type="expression" dxfId="548" priority="205" stopIfTrue="1">
      <formula>ACOMPANHAMENTO="BM"</formula>
    </cfRule>
    <cfRule type="expression" dxfId="547" priority="206" stopIfTrue="1">
      <formula>OR($B133=0,$B133=2,$B133=3,$B133=4)</formula>
    </cfRule>
    <cfRule type="expression" dxfId="546" priority="207" stopIfTrue="1">
      <formula>$B133=1</formula>
    </cfRule>
  </conditionalFormatting>
  <conditionalFormatting sqref="K133:K141">
    <cfRule type="expression" dxfId="545" priority="208" stopIfTrue="1">
      <formula>OR(ACOMPANHAMENTO="BM",$A$12&lt;&gt;"Manual")</formula>
    </cfRule>
    <cfRule type="expression" dxfId="544" priority="209" stopIfTrue="1">
      <formula>$B133=1</formula>
    </cfRule>
    <cfRule type="expression" dxfId="543" priority="210" stopIfTrue="1">
      <formula>OR($B133=2,$B133=3,$B133=4,$B133=0)</formula>
    </cfRule>
  </conditionalFormatting>
  <conditionalFormatting sqref="O133:AA141">
    <cfRule type="expression" dxfId="542" priority="211" stopIfTrue="1">
      <formula>ACOMPANHAMENTO="BM"</formula>
    </cfRule>
    <cfRule type="expression" dxfId="541" priority="212" stopIfTrue="1">
      <formula>AND(O$12&lt;&gt;".",OR($B133=0,$B133=2,$B133=3,$B133=4,AND(O$12="",$B133&lt;&gt;"Empty"),OFFSET(O$12,0,-1)=""))</formula>
    </cfRule>
    <cfRule type="expression" dxfId="540" priority="213" stopIfTrue="1">
      <formula>AND($B133=1,O$12&lt;&gt;".")</formula>
    </cfRule>
  </conditionalFormatting>
  <conditionalFormatting sqref="D142:I150">
    <cfRule type="expression" dxfId="539" priority="192" stopIfTrue="1">
      <formula>$B142=1</formula>
    </cfRule>
    <cfRule type="expression" dxfId="538" priority="193" stopIfTrue="1">
      <formula>OR($B142=0,$B142=2,$B142=3,$B142=4)</formula>
    </cfRule>
  </conditionalFormatting>
  <conditionalFormatting sqref="M142:N150">
    <cfRule type="expression" dxfId="537" priority="194" stopIfTrue="1">
      <formula>ACOMPANHAMENTO="BM"</formula>
    </cfRule>
    <cfRule type="expression" dxfId="536" priority="195" stopIfTrue="1">
      <formula>OR($B142=0,$B142=2,$B142=3,$B142=4)</formula>
    </cfRule>
    <cfRule type="expression" dxfId="535" priority="196" stopIfTrue="1">
      <formula>$B142=1</formula>
    </cfRule>
  </conditionalFormatting>
  <conditionalFormatting sqref="K142:K150">
    <cfRule type="expression" dxfId="534" priority="197" stopIfTrue="1">
      <formula>OR(ACOMPANHAMENTO="BM",$A$12&lt;&gt;"Manual")</formula>
    </cfRule>
    <cfRule type="expression" dxfId="533" priority="198" stopIfTrue="1">
      <formula>$B142=1</formula>
    </cfRule>
    <cfRule type="expression" dxfId="532" priority="199" stopIfTrue="1">
      <formula>OR($B142=2,$B142=3,$B142=4,$B142=0)</formula>
    </cfRule>
  </conditionalFormatting>
  <conditionalFormatting sqref="O142:AA150">
    <cfRule type="expression" dxfId="531" priority="200" stopIfTrue="1">
      <formula>ACOMPANHAMENTO="BM"</formula>
    </cfRule>
    <cfRule type="expression" dxfId="530" priority="201" stopIfTrue="1">
      <formula>AND(O$12&lt;&gt;".",OR($B142=0,$B142=2,$B142=3,$B142=4,AND(O$12="",$B142&lt;&gt;"Empty"),OFFSET(O$12,0,-1)=""))</formula>
    </cfRule>
    <cfRule type="expression" dxfId="529" priority="202" stopIfTrue="1">
      <formula>AND($B142=1,O$12&lt;&gt;".")</formula>
    </cfRule>
  </conditionalFormatting>
  <conditionalFormatting sqref="D151:I159">
    <cfRule type="expression" dxfId="528" priority="181" stopIfTrue="1">
      <formula>$B151=1</formula>
    </cfRule>
    <cfRule type="expression" dxfId="527" priority="182" stopIfTrue="1">
      <formula>OR($B151=0,$B151=2,$B151=3,$B151=4)</formula>
    </cfRule>
  </conditionalFormatting>
  <conditionalFormatting sqref="M151:N159">
    <cfRule type="expression" dxfId="526" priority="183" stopIfTrue="1">
      <formula>ACOMPANHAMENTO="BM"</formula>
    </cfRule>
    <cfRule type="expression" dxfId="525" priority="184" stopIfTrue="1">
      <formula>OR($B151=0,$B151=2,$B151=3,$B151=4)</formula>
    </cfRule>
    <cfRule type="expression" dxfId="524" priority="185" stopIfTrue="1">
      <formula>$B151=1</formula>
    </cfRule>
  </conditionalFormatting>
  <conditionalFormatting sqref="K151:K159">
    <cfRule type="expression" dxfId="523" priority="186" stopIfTrue="1">
      <formula>OR(ACOMPANHAMENTO="BM",$A$12&lt;&gt;"Manual")</formula>
    </cfRule>
    <cfRule type="expression" dxfId="522" priority="187" stopIfTrue="1">
      <formula>$B151=1</formula>
    </cfRule>
    <cfRule type="expression" dxfId="521" priority="188" stopIfTrue="1">
      <formula>OR($B151=2,$B151=3,$B151=4,$B151=0)</formula>
    </cfRule>
  </conditionalFormatting>
  <conditionalFormatting sqref="O151:AA159">
    <cfRule type="expression" dxfId="520" priority="189" stopIfTrue="1">
      <formula>ACOMPANHAMENTO="BM"</formula>
    </cfRule>
    <cfRule type="expression" dxfId="519" priority="190" stopIfTrue="1">
      <formula>AND(O$12&lt;&gt;".",OR($B151=0,$B151=2,$B151=3,$B151=4,AND(O$12="",$B151&lt;&gt;"Empty"),OFFSET(O$12,0,-1)=""))</formula>
    </cfRule>
    <cfRule type="expression" dxfId="518" priority="191" stopIfTrue="1">
      <formula>AND($B151=1,O$12&lt;&gt;".")</formula>
    </cfRule>
  </conditionalFormatting>
  <conditionalFormatting sqref="D160:I168">
    <cfRule type="expression" dxfId="517" priority="170" stopIfTrue="1">
      <formula>$B160=1</formula>
    </cfRule>
    <cfRule type="expression" dxfId="516" priority="171" stopIfTrue="1">
      <formula>OR($B160=0,$B160=2,$B160=3,$B160=4)</formula>
    </cfRule>
  </conditionalFormatting>
  <conditionalFormatting sqref="M160:N168">
    <cfRule type="expression" dxfId="515" priority="172" stopIfTrue="1">
      <formula>ACOMPANHAMENTO="BM"</formula>
    </cfRule>
    <cfRule type="expression" dxfId="514" priority="173" stopIfTrue="1">
      <formula>OR($B160=0,$B160=2,$B160=3,$B160=4)</formula>
    </cfRule>
    <cfRule type="expression" dxfId="513" priority="174" stopIfTrue="1">
      <formula>$B160=1</formula>
    </cfRule>
  </conditionalFormatting>
  <conditionalFormatting sqref="K160:K168">
    <cfRule type="expression" dxfId="512" priority="175" stopIfTrue="1">
      <formula>OR(ACOMPANHAMENTO="BM",$A$12&lt;&gt;"Manual")</formula>
    </cfRule>
    <cfRule type="expression" dxfId="511" priority="176" stopIfTrue="1">
      <formula>$B160=1</formula>
    </cfRule>
    <cfRule type="expression" dxfId="510" priority="177" stopIfTrue="1">
      <formula>OR($B160=2,$B160=3,$B160=4,$B160=0)</formula>
    </cfRule>
  </conditionalFormatting>
  <conditionalFormatting sqref="O160:AA168">
    <cfRule type="expression" dxfId="509" priority="178" stopIfTrue="1">
      <formula>ACOMPANHAMENTO="BM"</formula>
    </cfRule>
    <cfRule type="expression" dxfId="508" priority="179" stopIfTrue="1">
      <formula>AND(O$12&lt;&gt;".",OR($B160=0,$B160=2,$B160=3,$B160=4,AND(O$12="",$B160&lt;&gt;"Empty"),OFFSET(O$12,0,-1)=""))</formula>
    </cfRule>
    <cfRule type="expression" dxfId="507" priority="180" stopIfTrue="1">
      <formula>AND($B160=1,O$12&lt;&gt;".")</formula>
    </cfRule>
  </conditionalFormatting>
  <conditionalFormatting sqref="D169:I177">
    <cfRule type="expression" dxfId="506" priority="159" stopIfTrue="1">
      <formula>$B169=1</formula>
    </cfRule>
    <cfRule type="expression" dxfId="505" priority="160" stopIfTrue="1">
      <formula>OR($B169=0,$B169=2,$B169=3,$B169=4)</formula>
    </cfRule>
  </conditionalFormatting>
  <conditionalFormatting sqref="M169:N177">
    <cfRule type="expression" dxfId="504" priority="161" stopIfTrue="1">
      <formula>ACOMPANHAMENTO="BM"</formula>
    </cfRule>
    <cfRule type="expression" dxfId="503" priority="162" stopIfTrue="1">
      <formula>OR($B169=0,$B169=2,$B169=3,$B169=4)</formula>
    </cfRule>
    <cfRule type="expression" dxfId="502" priority="163" stopIfTrue="1">
      <formula>$B169=1</formula>
    </cfRule>
  </conditionalFormatting>
  <conditionalFormatting sqref="K169:K177">
    <cfRule type="expression" dxfId="501" priority="164" stopIfTrue="1">
      <formula>OR(ACOMPANHAMENTO="BM",$A$12&lt;&gt;"Manual")</formula>
    </cfRule>
    <cfRule type="expression" dxfId="500" priority="165" stopIfTrue="1">
      <formula>$B169=1</formula>
    </cfRule>
    <cfRule type="expression" dxfId="499" priority="166" stopIfTrue="1">
      <formula>OR($B169=2,$B169=3,$B169=4,$B169=0)</formula>
    </cfRule>
  </conditionalFormatting>
  <conditionalFormatting sqref="O169:AA177">
    <cfRule type="expression" dxfId="498" priority="167" stopIfTrue="1">
      <formula>ACOMPANHAMENTO="BM"</formula>
    </cfRule>
    <cfRule type="expression" dxfId="497" priority="168" stopIfTrue="1">
      <formula>AND(O$12&lt;&gt;".",OR($B169=0,$B169=2,$B169=3,$B169=4,AND(O$12="",$B169&lt;&gt;"Empty"),OFFSET(O$12,0,-1)=""))</formula>
    </cfRule>
    <cfRule type="expression" dxfId="496" priority="169" stopIfTrue="1">
      <formula>AND($B169=1,O$12&lt;&gt;".")</formula>
    </cfRule>
  </conditionalFormatting>
  <conditionalFormatting sqref="D178:I186">
    <cfRule type="expression" dxfId="495" priority="148" stopIfTrue="1">
      <formula>$B178=1</formula>
    </cfRule>
    <cfRule type="expression" dxfId="494" priority="149" stopIfTrue="1">
      <formula>OR($B178=0,$B178=2,$B178=3,$B178=4)</formula>
    </cfRule>
  </conditionalFormatting>
  <conditionalFormatting sqref="M178:N186">
    <cfRule type="expression" dxfId="493" priority="150" stopIfTrue="1">
      <formula>ACOMPANHAMENTO="BM"</formula>
    </cfRule>
    <cfRule type="expression" dxfId="492" priority="151" stopIfTrue="1">
      <formula>OR($B178=0,$B178=2,$B178=3,$B178=4)</formula>
    </cfRule>
    <cfRule type="expression" dxfId="491" priority="152" stopIfTrue="1">
      <formula>$B178=1</formula>
    </cfRule>
  </conditionalFormatting>
  <conditionalFormatting sqref="K178:K186">
    <cfRule type="expression" dxfId="490" priority="153" stopIfTrue="1">
      <formula>OR(ACOMPANHAMENTO="BM",$A$12&lt;&gt;"Manual")</formula>
    </cfRule>
    <cfRule type="expression" dxfId="489" priority="154" stopIfTrue="1">
      <formula>$B178=1</formula>
    </cfRule>
    <cfRule type="expression" dxfId="488" priority="155" stopIfTrue="1">
      <formula>OR($B178=2,$B178=3,$B178=4,$B178=0)</formula>
    </cfRule>
  </conditionalFormatting>
  <conditionalFormatting sqref="O178:AA186">
    <cfRule type="expression" dxfId="487" priority="156" stopIfTrue="1">
      <formula>ACOMPANHAMENTO="BM"</formula>
    </cfRule>
    <cfRule type="expression" dxfId="486" priority="157" stopIfTrue="1">
      <formula>AND(O$12&lt;&gt;".",OR($B178=0,$B178=2,$B178=3,$B178=4,AND(O$12="",$B178&lt;&gt;"Empty"),OFFSET(O$12,0,-1)=""))</formula>
    </cfRule>
    <cfRule type="expression" dxfId="485" priority="158" stopIfTrue="1">
      <formula>AND($B178=1,O$12&lt;&gt;".")</formula>
    </cfRule>
  </conditionalFormatting>
  <conditionalFormatting sqref="D187:I195">
    <cfRule type="expression" dxfId="484" priority="137" stopIfTrue="1">
      <formula>$B187=1</formula>
    </cfRule>
    <cfRule type="expression" dxfId="483" priority="138" stopIfTrue="1">
      <formula>OR($B187=0,$B187=2,$B187=3,$B187=4)</formula>
    </cfRule>
  </conditionalFormatting>
  <conditionalFormatting sqref="M187:N195">
    <cfRule type="expression" dxfId="482" priority="139" stopIfTrue="1">
      <formula>ACOMPANHAMENTO="BM"</formula>
    </cfRule>
    <cfRule type="expression" dxfId="481" priority="140" stopIfTrue="1">
      <formula>OR($B187=0,$B187=2,$B187=3,$B187=4)</formula>
    </cfRule>
    <cfRule type="expression" dxfId="480" priority="141" stopIfTrue="1">
      <formula>$B187=1</formula>
    </cfRule>
  </conditionalFormatting>
  <conditionalFormatting sqref="K187:K195">
    <cfRule type="expression" dxfId="479" priority="142" stopIfTrue="1">
      <formula>OR(ACOMPANHAMENTO="BM",$A$12&lt;&gt;"Manual")</formula>
    </cfRule>
    <cfRule type="expression" dxfId="478" priority="143" stopIfTrue="1">
      <formula>$B187=1</formula>
    </cfRule>
    <cfRule type="expression" dxfId="477" priority="144" stopIfTrue="1">
      <formula>OR($B187=2,$B187=3,$B187=4,$B187=0)</formula>
    </cfRule>
  </conditionalFormatting>
  <conditionalFormatting sqref="O187:AA195">
    <cfRule type="expression" dxfId="476" priority="145" stopIfTrue="1">
      <formula>ACOMPANHAMENTO="BM"</formula>
    </cfRule>
    <cfRule type="expression" dxfId="475" priority="146" stopIfTrue="1">
      <formula>AND(O$12&lt;&gt;".",OR($B187=0,$B187=2,$B187=3,$B187=4,AND(O$12="",$B187&lt;&gt;"Empty"),OFFSET(O$12,0,-1)=""))</formula>
    </cfRule>
    <cfRule type="expression" dxfId="474" priority="147" stopIfTrue="1">
      <formula>AND($B187=1,O$12&lt;&gt;".")</formula>
    </cfRule>
  </conditionalFormatting>
  <conditionalFormatting sqref="D196:I204">
    <cfRule type="expression" dxfId="473" priority="126" stopIfTrue="1">
      <formula>$B196=1</formula>
    </cfRule>
    <cfRule type="expression" dxfId="472" priority="127" stopIfTrue="1">
      <formula>OR($B196=0,$B196=2,$B196=3,$B196=4)</formula>
    </cfRule>
  </conditionalFormatting>
  <conditionalFormatting sqref="M196:N204">
    <cfRule type="expression" dxfId="471" priority="128" stopIfTrue="1">
      <formula>ACOMPANHAMENTO="BM"</formula>
    </cfRule>
    <cfRule type="expression" dxfId="470" priority="129" stopIfTrue="1">
      <formula>OR($B196=0,$B196=2,$B196=3,$B196=4)</formula>
    </cfRule>
    <cfRule type="expression" dxfId="469" priority="130" stopIfTrue="1">
      <formula>$B196=1</formula>
    </cfRule>
  </conditionalFormatting>
  <conditionalFormatting sqref="K196:K204">
    <cfRule type="expression" dxfId="468" priority="131" stopIfTrue="1">
      <formula>OR(ACOMPANHAMENTO="BM",$A$12&lt;&gt;"Manual")</formula>
    </cfRule>
    <cfRule type="expression" dxfId="467" priority="132" stopIfTrue="1">
      <formula>$B196=1</formula>
    </cfRule>
    <cfRule type="expression" dxfId="466" priority="133" stopIfTrue="1">
      <formula>OR($B196=2,$B196=3,$B196=4,$B196=0)</formula>
    </cfRule>
  </conditionalFormatting>
  <conditionalFormatting sqref="O196:AA204">
    <cfRule type="expression" dxfId="465" priority="134" stopIfTrue="1">
      <formula>ACOMPANHAMENTO="BM"</formula>
    </cfRule>
    <cfRule type="expression" dxfId="464" priority="135" stopIfTrue="1">
      <formula>AND(O$12&lt;&gt;".",OR($B196=0,$B196=2,$B196=3,$B196=4,AND(O$12="",$B196&lt;&gt;"Empty"),OFFSET(O$12,0,-1)=""))</formula>
    </cfRule>
    <cfRule type="expression" dxfId="463" priority="136" stopIfTrue="1">
      <formula>AND($B196=1,O$12&lt;&gt;".")</formula>
    </cfRule>
  </conditionalFormatting>
  <conditionalFormatting sqref="D205:I213">
    <cfRule type="expression" dxfId="462" priority="115" stopIfTrue="1">
      <formula>$B205=1</formula>
    </cfRule>
    <cfRule type="expression" dxfId="461" priority="116" stopIfTrue="1">
      <formula>OR($B205=0,$B205=2,$B205=3,$B205=4)</formula>
    </cfRule>
  </conditionalFormatting>
  <conditionalFormatting sqref="M205:N213">
    <cfRule type="expression" dxfId="460" priority="117" stopIfTrue="1">
      <formula>ACOMPANHAMENTO="BM"</formula>
    </cfRule>
    <cfRule type="expression" dxfId="459" priority="118" stopIfTrue="1">
      <formula>OR($B205=0,$B205=2,$B205=3,$B205=4)</formula>
    </cfRule>
    <cfRule type="expression" dxfId="458" priority="119" stopIfTrue="1">
      <formula>$B205=1</formula>
    </cfRule>
  </conditionalFormatting>
  <conditionalFormatting sqref="K205:K213">
    <cfRule type="expression" dxfId="457" priority="120" stopIfTrue="1">
      <formula>OR(ACOMPANHAMENTO="BM",$A$12&lt;&gt;"Manual")</formula>
    </cfRule>
    <cfRule type="expression" dxfId="456" priority="121" stopIfTrue="1">
      <formula>$B205=1</formula>
    </cfRule>
    <cfRule type="expression" dxfId="455" priority="122" stopIfTrue="1">
      <formula>OR($B205=2,$B205=3,$B205=4,$B205=0)</formula>
    </cfRule>
  </conditionalFormatting>
  <conditionalFormatting sqref="O205:AA213">
    <cfRule type="expression" dxfId="454" priority="123" stopIfTrue="1">
      <formula>ACOMPANHAMENTO="BM"</formula>
    </cfRule>
    <cfRule type="expression" dxfId="453" priority="124" stopIfTrue="1">
      <formula>AND(O$12&lt;&gt;".",OR($B205=0,$B205=2,$B205=3,$B205=4,AND(O$12="",$B205&lt;&gt;"Empty"),OFFSET(O$12,0,-1)=""))</formula>
    </cfRule>
    <cfRule type="expression" dxfId="452" priority="125" stopIfTrue="1">
      <formula>AND($B205=1,O$12&lt;&gt;".")</formula>
    </cfRule>
  </conditionalFormatting>
  <conditionalFormatting sqref="D214:I222">
    <cfRule type="expression" dxfId="451" priority="104" stopIfTrue="1">
      <formula>$B214=1</formula>
    </cfRule>
    <cfRule type="expression" dxfId="450" priority="105" stopIfTrue="1">
      <formula>OR($B214=0,$B214=2,$B214=3,$B214=4)</formula>
    </cfRule>
  </conditionalFormatting>
  <conditionalFormatting sqref="M214:N222">
    <cfRule type="expression" dxfId="449" priority="106" stopIfTrue="1">
      <formula>ACOMPANHAMENTO="BM"</formula>
    </cfRule>
    <cfRule type="expression" dxfId="448" priority="107" stopIfTrue="1">
      <formula>OR($B214=0,$B214=2,$B214=3,$B214=4)</formula>
    </cfRule>
    <cfRule type="expression" dxfId="447" priority="108" stopIfTrue="1">
      <formula>$B214=1</formula>
    </cfRule>
  </conditionalFormatting>
  <conditionalFormatting sqref="K214:K222">
    <cfRule type="expression" dxfId="446" priority="109" stopIfTrue="1">
      <formula>OR(ACOMPANHAMENTO="BM",$A$12&lt;&gt;"Manual")</formula>
    </cfRule>
    <cfRule type="expression" dxfId="445" priority="110" stopIfTrue="1">
      <formula>$B214=1</formula>
    </cfRule>
    <cfRule type="expression" dxfId="444" priority="111" stopIfTrue="1">
      <formula>OR($B214=2,$B214=3,$B214=4,$B214=0)</formula>
    </cfRule>
  </conditionalFormatting>
  <conditionalFormatting sqref="O214:AA222">
    <cfRule type="expression" dxfId="443" priority="112" stopIfTrue="1">
      <formula>ACOMPANHAMENTO="BM"</formula>
    </cfRule>
    <cfRule type="expression" dxfId="442" priority="113" stopIfTrue="1">
      <formula>AND(O$12&lt;&gt;".",OR($B214=0,$B214=2,$B214=3,$B214=4,AND(O$12="",$B214&lt;&gt;"Empty"),OFFSET(O$12,0,-1)=""))</formula>
    </cfRule>
    <cfRule type="expression" dxfId="441" priority="114" stopIfTrue="1">
      <formula>AND($B214=1,O$12&lt;&gt;".")</formula>
    </cfRule>
  </conditionalFormatting>
  <conditionalFormatting sqref="D223:I231">
    <cfRule type="expression" dxfId="440" priority="93" stopIfTrue="1">
      <formula>$B223=1</formula>
    </cfRule>
    <cfRule type="expression" dxfId="439" priority="94" stopIfTrue="1">
      <formula>OR($B223=0,$B223=2,$B223=3,$B223=4)</formula>
    </cfRule>
  </conditionalFormatting>
  <conditionalFormatting sqref="M223:N231">
    <cfRule type="expression" dxfId="438" priority="95" stopIfTrue="1">
      <formula>ACOMPANHAMENTO="BM"</formula>
    </cfRule>
    <cfRule type="expression" dxfId="437" priority="96" stopIfTrue="1">
      <formula>OR($B223=0,$B223=2,$B223=3,$B223=4)</formula>
    </cfRule>
    <cfRule type="expression" dxfId="436" priority="97" stopIfTrue="1">
      <formula>$B223=1</formula>
    </cfRule>
  </conditionalFormatting>
  <conditionalFormatting sqref="K223:K231">
    <cfRule type="expression" dxfId="435" priority="98" stopIfTrue="1">
      <formula>OR(ACOMPANHAMENTO="BM",$A$12&lt;&gt;"Manual")</formula>
    </cfRule>
    <cfRule type="expression" dxfId="434" priority="99" stopIfTrue="1">
      <formula>$B223=1</formula>
    </cfRule>
    <cfRule type="expression" dxfId="433" priority="100" stopIfTrue="1">
      <formula>OR($B223=2,$B223=3,$B223=4,$B223=0)</formula>
    </cfRule>
  </conditionalFormatting>
  <conditionalFormatting sqref="O223:AA231">
    <cfRule type="expression" dxfId="432" priority="101" stopIfTrue="1">
      <formula>ACOMPANHAMENTO="BM"</formula>
    </cfRule>
    <cfRule type="expression" dxfId="431" priority="102" stopIfTrue="1">
      <formula>AND(O$12&lt;&gt;".",OR($B223=0,$B223=2,$B223=3,$B223=4,AND(O$12="",$B223&lt;&gt;"Empty"),OFFSET(O$12,0,-1)=""))</formula>
    </cfRule>
    <cfRule type="expression" dxfId="430" priority="103" stopIfTrue="1">
      <formula>AND($B223=1,O$12&lt;&gt;".")</formula>
    </cfRule>
  </conditionalFormatting>
  <conditionalFormatting sqref="D232:I240">
    <cfRule type="expression" dxfId="429" priority="82" stopIfTrue="1">
      <formula>$B232=1</formula>
    </cfRule>
    <cfRule type="expression" dxfId="428" priority="83" stopIfTrue="1">
      <formula>OR($B232=0,$B232=2,$B232=3,$B232=4)</formula>
    </cfRule>
  </conditionalFormatting>
  <conditionalFormatting sqref="M232:N240">
    <cfRule type="expression" dxfId="427" priority="84" stopIfTrue="1">
      <formula>ACOMPANHAMENTO="BM"</formula>
    </cfRule>
    <cfRule type="expression" dxfId="426" priority="85" stopIfTrue="1">
      <formula>OR($B232=0,$B232=2,$B232=3,$B232=4)</formula>
    </cfRule>
    <cfRule type="expression" dxfId="425" priority="86" stopIfTrue="1">
      <formula>$B232=1</formula>
    </cfRule>
  </conditionalFormatting>
  <conditionalFormatting sqref="K232:K240">
    <cfRule type="expression" dxfId="424" priority="87" stopIfTrue="1">
      <formula>OR(ACOMPANHAMENTO="BM",$A$12&lt;&gt;"Manual")</formula>
    </cfRule>
    <cfRule type="expression" dxfId="423" priority="88" stopIfTrue="1">
      <formula>$B232=1</formula>
    </cfRule>
    <cfRule type="expression" dxfId="422" priority="89" stopIfTrue="1">
      <formula>OR($B232=2,$B232=3,$B232=4,$B232=0)</formula>
    </cfRule>
  </conditionalFormatting>
  <conditionalFormatting sqref="O232:AA240">
    <cfRule type="expression" dxfId="421" priority="90" stopIfTrue="1">
      <formula>ACOMPANHAMENTO="BM"</formula>
    </cfRule>
    <cfRule type="expression" dxfId="420" priority="91" stopIfTrue="1">
      <formula>AND(O$12&lt;&gt;".",OR($B232=0,$B232=2,$B232=3,$B232=4,AND(O$12="",$B232&lt;&gt;"Empty"),OFFSET(O$12,0,-1)=""))</formula>
    </cfRule>
    <cfRule type="expression" dxfId="419" priority="92" stopIfTrue="1">
      <formula>AND($B232=1,O$12&lt;&gt;".")</formula>
    </cfRule>
  </conditionalFormatting>
  <conditionalFormatting sqref="D241:I249">
    <cfRule type="expression" dxfId="418" priority="71" stopIfTrue="1">
      <formula>$B241=1</formula>
    </cfRule>
    <cfRule type="expression" dxfId="417" priority="72" stopIfTrue="1">
      <formula>OR($B241=0,$B241=2,$B241=3,$B241=4)</formula>
    </cfRule>
  </conditionalFormatting>
  <conditionalFormatting sqref="M241:N249">
    <cfRule type="expression" dxfId="416" priority="73" stopIfTrue="1">
      <formula>ACOMPANHAMENTO="BM"</formula>
    </cfRule>
    <cfRule type="expression" dxfId="415" priority="74" stopIfTrue="1">
      <formula>OR($B241=0,$B241=2,$B241=3,$B241=4)</formula>
    </cfRule>
    <cfRule type="expression" dxfId="414" priority="75" stopIfTrue="1">
      <formula>$B241=1</formula>
    </cfRule>
  </conditionalFormatting>
  <conditionalFormatting sqref="K241:K249">
    <cfRule type="expression" dxfId="413" priority="76" stopIfTrue="1">
      <formula>OR(ACOMPANHAMENTO="BM",$A$12&lt;&gt;"Manual")</formula>
    </cfRule>
    <cfRule type="expression" dxfId="412" priority="77" stopIfTrue="1">
      <formula>$B241=1</formula>
    </cfRule>
    <cfRule type="expression" dxfId="411" priority="78" stopIfTrue="1">
      <formula>OR($B241=2,$B241=3,$B241=4,$B241=0)</formula>
    </cfRule>
  </conditionalFormatting>
  <conditionalFormatting sqref="O241:AA249">
    <cfRule type="expression" dxfId="410" priority="79" stopIfTrue="1">
      <formula>ACOMPANHAMENTO="BM"</formula>
    </cfRule>
    <cfRule type="expression" dxfId="409" priority="80" stopIfTrue="1">
      <formula>AND(O$12&lt;&gt;".",OR($B241=0,$B241=2,$B241=3,$B241=4,AND(O$12="",$B241&lt;&gt;"Empty"),OFFSET(O$12,0,-1)=""))</formula>
    </cfRule>
    <cfRule type="expression" dxfId="408" priority="81" stopIfTrue="1">
      <formula>AND($B241=1,O$12&lt;&gt;".")</formula>
    </cfRule>
  </conditionalFormatting>
  <conditionalFormatting sqref="D250:I258">
    <cfRule type="expression" dxfId="407" priority="60" stopIfTrue="1">
      <formula>$B250=1</formula>
    </cfRule>
    <cfRule type="expression" dxfId="406" priority="61" stopIfTrue="1">
      <formula>OR($B250=0,$B250=2,$B250=3,$B250=4)</formula>
    </cfRule>
  </conditionalFormatting>
  <conditionalFormatting sqref="M250:N258">
    <cfRule type="expression" dxfId="405" priority="62" stopIfTrue="1">
      <formula>ACOMPANHAMENTO="BM"</formula>
    </cfRule>
    <cfRule type="expression" dxfId="404" priority="63" stopIfTrue="1">
      <formula>OR($B250=0,$B250=2,$B250=3,$B250=4)</formula>
    </cfRule>
    <cfRule type="expression" dxfId="403" priority="64" stopIfTrue="1">
      <formula>$B250=1</formula>
    </cfRule>
  </conditionalFormatting>
  <conditionalFormatting sqref="K250:K258">
    <cfRule type="expression" dxfId="402" priority="65" stopIfTrue="1">
      <formula>OR(ACOMPANHAMENTO="BM",$A$12&lt;&gt;"Manual")</formula>
    </cfRule>
    <cfRule type="expression" dxfId="401" priority="66" stopIfTrue="1">
      <formula>$B250=1</formula>
    </cfRule>
    <cfRule type="expression" dxfId="400" priority="67" stopIfTrue="1">
      <formula>OR($B250=2,$B250=3,$B250=4,$B250=0)</formula>
    </cfRule>
  </conditionalFormatting>
  <conditionalFormatting sqref="O250:AA258">
    <cfRule type="expression" dxfId="399" priority="68" stopIfTrue="1">
      <formula>ACOMPANHAMENTO="BM"</formula>
    </cfRule>
    <cfRule type="expression" dxfId="398" priority="69" stopIfTrue="1">
      <formula>AND(O$12&lt;&gt;".",OR($B250=0,$B250=2,$B250=3,$B250=4,AND(O$12="",$B250&lt;&gt;"Empty"),OFFSET(O$12,0,-1)=""))</formula>
    </cfRule>
    <cfRule type="expression" dxfId="397" priority="70" stopIfTrue="1">
      <formula>AND($B250=1,O$12&lt;&gt;".")</formula>
    </cfRule>
  </conditionalFormatting>
  <conditionalFormatting sqref="D259:I265">
    <cfRule type="expression" dxfId="396" priority="49" stopIfTrue="1">
      <formula>$B259=1</formula>
    </cfRule>
    <cfRule type="expression" dxfId="395" priority="50" stopIfTrue="1">
      <formula>OR($B259=0,$B259=2,$B259=3,$B259=4)</formula>
    </cfRule>
  </conditionalFormatting>
  <conditionalFormatting sqref="M259:N265">
    <cfRule type="expression" dxfId="394" priority="51" stopIfTrue="1">
      <formula>ACOMPANHAMENTO="BM"</formula>
    </cfRule>
    <cfRule type="expression" dxfId="393" priority="52" stopIfTrue="1">
      <formula>OR($B259=0,$B259=2,$B259=3,$B259=4)</formula>
    </cfRule>
    <cfRule type="expression" dxfId="392" priority="53" stopIfTrue="1">
      <formula>$B259=1</formula>
    </cfRule>
  </conditionalFormatting>
  <conditionalFormatting sqref="K259:K265">
    <cfRule type="expression" dxfId="391" priority="54" stopIfTrue="1">
      <formula>OR(ACOMPANHAMENTO="BM",$A$12&lt;&gt;"Manual")</formula>
    </cfRule>
    <cfRule type="expression" dxfId="390" priority="55" stopIfTrue="1">
      <formula>$B259=1</formula>
    </cfRule>
    <cfRule type="expression" dxfId="389" priority="56" stopIfTrue="1">
      <formula>OR($B259=2,$B259=3,$B259=4,$B259=0)</formula>
    </cfRule>
  </conditionalFormatting>
  <conditionalFormatting sqref="O259:AA265">
    <cfRule type="expression" dxfId="388" priority="57" stopIfTrue="1">
      <formula>ACOMPANHAMENTO="BM"</formula>
    </cfRule>
    <cfRule type="expression" dxfId="387" priority="58" stopIfTrue="1">
      <formula>AND(O$12&lt;&gt;".",OR($B259=0,$B259=2,$B259=3,$B259=4,AND(O$12="",$B259&lt;&gt;"Empty"),OFFSET(O$12,0,-1)=""))</formula>
    </cfRule>
    <cfRule type="expression" dxfId="386" priority="59" stopIfTrue="1">
      <formula>AND($B259=1,O$12&lt;&gt;".")</formula>
    </cfRule>
  </conditionalFormatting>
  <conditionalFormatting sqref="Q31">
    <cfRule type="expression" dxfId="385" priority="46" stopIfTrue="1">
      <formula>ACOMPANHAMENTO="BM"</formula>
    </cfRule>
    <cfRule type="expression" dxfId="384" priority="47" stopIfTrue="1">
      <formula>AND(Q$12&lt;&gt;".",OR($B31=0,$B31=2,$B31=3,$B31=4,AND(Q$12="",$B31&lt;&gt;"Empty"),OFFSET(Q$12,0,-1)=""))</formula>
    </cfRule>
    <cfRule type="expression" dxfId="383" priority="48" stopIfTrue="1">
      <formula>AND($B31=1,Q$12&lt;&gt;".")</formula>
    </cfRule>
  </conditionalFormatting>
  <conditionalFormatting sqref="Q32:Q34">
    <cfRule type="expression" dxfId="382" priority="43" stopIfTrue="1">
      <formula>ACOMPANHAMENTO="BM"</formula>
    </cfRule>
    <cfRule type="expression" dxfId="381" priority="44" stopIfTrue="1">
      <formula>AND(Q$12&lt;&gt;".",OR($B32=0,$B32=2,$B32=3,$B32=4,AND(Q$12="",$B32&lt;&gt;"Empty"),OFFSET(Q$12,0,-1)=""))</formula>
    </cfRule>
    <cfRule type="expression" dxfId="380" priority="45" stopIfTrue="1">
      <formula>AND($B32=1,Q$12&lt;&gt;".")</formula>
    </cfRule>
  </conditionalFormatting>
  <conditionalFormatting sqref="S31">
    <cfRule type="expression" dxfId="379" priority="40" stopIfTrue="1">
      <formula>ACOMPANHAMENTO="BM"</formula>
    </cfRule>
    <cfRule type="expression" dxfId="378" priority="41" stopIfTrue="1">
      <formula>AND(S$12&lt;&gt;".",OR($B31=0,$B31=2,$B31=3,$B31=4,AND(S$12="",$B31&lt;&gt;"Empty"),OFFSET(S$12,0,-1)=""))</formula>
    </cfRule>
    <cfRule type="expression" dxfId="377" priority="42" stopIfTrue="1">
      <formula>AND($B31=1,S$12&lt;&gt;".")</formula>
    </cfRule>
  </conditionalFormatting>
  <conditionalFormatting sqref="S32:S34">
    <cfRule type="expression" dxfId="376" priority="37" stopIfTrue="1">
      <formula>ACOMPANHAMENTO="BM"</formula>
    </cfRule>
    <cfRule type="expression" dxfId="375" priority="38" stopIfTrue="1">
      <formula>AND(S$12&lt;&gt;".",OR($B32=0,$B32=2,$B32=3,$B32=4,AND(S$12="",$B32&lt;&gt;"Empty"),OFFSET(S$12,0,-1)=""))</formula>
    </cfRule>
    <cfRule type="expression" dxfId="374" priority="39" stopIfTrue="1">
      <formula>AND($B32=1,S$12&lt;&gt;".")</formula>
    </cfRule>
  </conditionalFormatting>
  <conditionalFormatting sqref="T31">
    <cfRule type="expression" dxfId="373" priority="34" stopIfTrue="1">
      <formula>ACOMPANHAMENTO="BM"</formula>
    </cfRule>
    <cfRule type="expression" dxfId="372" priority="35" stopIfTrue="1">
      <formula>AND(T$12&lt;&gt;".",OR($B31=0,$B31=2,$B31=3,$B31=4,AND(T$12="",$B31&lt;&gt;"Empty"),OFFSET(T$12,0,-1)=""))</formula>
    </cfRule>
    <cfRule type="expression" dxfId="371" priority="36" stopIfTrue="1">
      <formula>AND($B31=1,T$12&lt;&gt;".")</formula>
    </cfRule>
  </conditionalFormatting>
  <conditionalFormatting sqref="T32:T34">
    <cfRule type="expression" dxfId="370" priority="31" stopIfTrue="1">
      <formula>ACOMPANHAMENTO="BM"</formula>
    </cfRule>
    <cfRule type="expression" dxfId="369" priority="32" stopIfTrue="1">
      <formula>AND(T$12&lt;&gt;".",OR($B32=0,$B32=2,$B32=3,$B32=4,AND(T$12="",$B32&lt;&gt;"Empty"),OFFSET(T$12,0,-1)=""))</formula>
    </cfRule>
    <cfRule type="expression" dxfId="368" priority="33" stopIfTrue="1">
      <formula>AND($B32=1,T$12&lt;&gt;".")</formula>
    </cfRule>
  </conditionalFormatting>
  <conditionalFormatting sqref="U31">
    <cfRule type="expression" dxfId="367" priority="28" stopIfTrue="1">
      <formula>ACOMPANHAMENTO="BM"</formula>
    </cfRule>
    <cfRule type="expression" dxfId="366" priority="29" stopIfTrue="1">
      <formula>AND(U$12&lt;&gt;".",OR($B31=0,$B31=2,$B31=3,$B31=4,AND(U$12="",$B31&lt;&gt;"Empty"),OFFSET(U$12,0,-1)=""))</formula>
    </cfRule>
    <cfRule type="expression" dxfId="365" priority="30" stopIfTrue="1">
      <formula>AND($B31=1,U$12&lt;&gt;".")</formula>
    </cfRule>
  </conditionalFormatting>
  <conditionalFormatting sqref="U32:U34">
    <cfRule type="expression" dxfId="364" priority="25" stopIfTrue="1">
      <formula>ACOMPANHAMENTO="BM"</formula>
    </cfRule>
    <cfRule type="expression" dxfId="363" priority="26" stopIfTrue="1">
      <formula>AND(U$12&lt;&gt;".",OR($B32=0,$B32=2,$B32=3,$B32=4,AND(U$12="",$B32&lt;&gt;"Empty"),OFFSET(U$12,0,-1)=""))</formula>
    </cfRule>
    <cfRule type="expression" dxfId="362" priority="27" stopIfTrue="1">
      <formula>AND($B32=1,U$12&lt;&gt;".")</formula>
    </cfRule>
  </conditionalFormatting>
  <conditionalFormatting sqref="R31">
    <cfRule type="expression" dxfId="361" priority="22" stopIfTrue="1">
      <formula>ACOMPANHAMENTO="BM"</formula>
    </cfRule>
    <cfRule type="expression" dxfId="360" priority="23" stopIfTrue="1">
      <formula>AND(R$12&lt;&gt;".",OR($B31=0,$B31=2,$B31=3,$B31=4,AND(R$12="",$B31&lt;&gt;"Empty"),OFFSET(R$12,0,-1)=""))</formula>
    </cfRule>
    <cfRule type="expression" dxfId="359" priority="24" stopIfTrue="1">
      <formula>AND($B31=1,R$12&lt;&gt;".")</formula>
    </cfRule>
  </conditionalFormatting>
  <conditionalFormatting sqref="R32:R34">
    <cfRule type="expression" dxfId="358" priority="19" stopIfTrue="1">
      <formula>ACOMPANHAMENTO="BM"</formula>
    </cfRule>
    <cfRule type="expression" dxfId="357" priority="20" stopIfTrue="1">
      <formula>AND(R$12&lt;&gt;".",OR($B32=0,$B32=2,$B32=3,$B32=4,AND(R$12="",$B32&lt;&gt;"Empty"),OFFSET(R$12,0,-1)=""))</formula>
    </cfRule>
    <cfRule type="expression" dxfId="356" priority="21" stopIfTrue="1">
      <formula>AND($B32=1,R$12&lt;&gt;".")</formula>
    </cfRule>
  </conditionalFormatting>
  <conditionalFormatting sqref="I43">
    <cfRule type="expression" dxfId="355" priority="15" stopIfTrue="1">
      <formula>$B43=1</formula>
    </cfRule>
    <cfRule type="expression" dxfId="354" priority="16" stopIfTrue="1">
      <formula>OR($B43=0,$B43=2,$B43=3,$B43=4)</formula>
    </cfRule>
  </conditionalFormatting>
  <conditionalFormatting sqref="I42">
    <cfRule type="expression" dxfId="353" priority="13" stopIfTrue="1">
      <formula>$B42=1</formula>
    </cfRule>
    <cfRule type="expression" dxfId="352" priority="14" stopIfTrue="1">
      <formula>OR($B42=0,$B42=2,$B42=3,$B42=4)</formula>
    </cfRule>
  </conditionalFormatting>
  <conditionalFormatting sqref="I19">
    <cfRule type="expression" dxfId="351" priority="11" stopIfTrue="1">
      <formula>$B19=1</formula>
    </cfRule>
    <cfRule type="expression" dxfId="350" priority="12" stopIfTrue="1">
      <formula>OR($B19=0,$B19=2,$B19=3,$B19=4)</formula>
    </cfRule>
  </conditionalFormatting>
  <conditionalFormatting sqref="I24">
    <cfRule type="expression" dxfId="349" priority="9" stopIfTrue="1">
      <formula>$B24=1</formula>
    </cfRule>
    <cfRule type="expression" dxfId="348" priority="10" stopIfTrue="1">
      <formula>OR($B24=0,$B24=2,$B24=3,$B24=4)</formula>
    </cfRule>
  </conditionalFormatting>
  <conditionalFormatting sqref="I31">
    <cfRule type="expression" dxfId="347" priority="7" stopIfTrue="1">
      <formula>$B31=1</formula>
    </cfRule>
    <cfRule type="expression" dxfId="346" priority="8" stopIfTrue="1">
      <formula>OR($B31=0,$B31=2,$B31=3,$B31=4)</formula>
    </cfRule>
  </conditionalFormatting>
  <conditionalFormatting sqref="I33">
    <cfRule type="expression" dxfId="345" priority="5" stopIfTrue="1">
      <formula>$B33=1</formula>
    </cfRule>
    <cfRule type="expression" dxfId="344" priority="6" stopIfTrue="1">
      <formula>OR($B33=0,$B33=2,$B33=3,$B33=4)</formula>
    </cfRule>
  </conditionalFormatting>
  <conditionalFormatting sqref="I26">
    <cfRule type="expression" dxfId="343" priority="3" stopIfTrue="1">
      <formula>$B26=1</formula>
    </cfRule>
    <cfRule type="expression" dxfId="342" priority="4" stopIfTrue="1">
      <formula>OR($B26=0,$B26=2,$B26=3,$B26=4)</formula>
    </cfRule>
  </conditionalFormatting>
  <conditionalFormatting sqref="I27">
    <cfRule type="expression" dxfId="341" priority="1" stopIfTrue="1">
      <formula>$B27=1</formula>
    </cfRule>
    <cfRule type="expression" dxfId="340" priority="2" stopIfTrue="1">
      <formula>OR($B27=0,$B27=2,$B27=3,$B27=4)</formula>
    </cfRule>
  </conditionalFormatting>
  <dataValidations disablePrompts="1"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 activeCell="F31" sqref="F31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/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algorithmName="SHA-512" hashValue="FJE28XpwhOkXST6QUJs3v4JSsQgzXzGSU4DHKN8xke/bvZqq0glmY74td2QR5Iy/8R18SjyGNOGi5qiOv/gwMA==" saltValue="YwkKtJN60tA5zlpoiIfMVQ==" spinCount="100000"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40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mc:AlternateContent xmlns:x12ac="http://schemas.microsoft.com/office/spreadsheetml/2011/1/ac" xmlns:mc="http://schemas.openxmlformats.org/markup-compatibility/2006">
        <mc:Choice Requires="x12ac">
          <x12ac:list>"Automática, conforme os agrupadores Nível 2 do Orçamento","Automática, conforme os agrupadores Nível 3 do Orçamento","Automática, conforme os agrupadores Nível 4 do Orçamento",Definir Manualmente</x12ac:list>
        </mc:Choice>
        <mc:Fallback>
          <formula1>"Automática, conforme os agrupadores Nível 2 do Orçamento,Automática, conforme os agrupadores Nível 3 do Orçamento,Automática, conforme os agrupadores Nível 4 do Orçamento,Definir Manualmente"</formula1>
        </mc:Fallback>
      </mc:AlternateContent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G12" sqref="G12:G13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7" t="s">
        <v>139</v>
      </c>
      <c r="AE4" s="687"/>
    </row>
    <row r="5" spans="1:32" ht="15" x14ac:dyDescent="0.2">
      <c r="R5" s="107" t="str">
        <f>import.recurso</f>
        <v>(SELECIONAR)</v>
      </c>
      <c r="AD5" s="688" t="s">
        <v>142</v>
      </c>
      <c r="AE5" s="688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2" t="s">
        <v>270</v>
      </c>
      <c r="H7" s="268" t="s">
        <v>440</v>
      </c>
      <c r="I7" s="269"/>
      <c r="J7" s="270" t="s">
        <v>441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6" t="s">
        <v>208</v>
      </c>
      <c r="G8" s="722"/>
      <c r="H8" s="720">
        <f>Import.CR</f>
        <v>0</v>
      </c>
      <c r="I8" s="720"/>
      <c r="J8" s="274">
        <f>Import.SICONV</f>
        <v>0</v>
      </c>
      <c r="K8" s="719" t="str">
        <f>Import.Proponente</f>
        <v>MUNICÍPIO DE CÉU AZUL</v>
      </c>
      <c r="L8" s="719"/>
      <c r="M8" s="719"/>
      <c r="N8" s="719"/>
      <c r="O8" s="719"/>
      <c r="P8" s="719"/>
      <c r="Q8" s="719"/>
      <c r="R8" s="719"/>
      <c r="S8" s="719"/>
      <c r="T8" s="720" t="str">
        <f>Import.Apelido</f>
        <v>RECAPE ASFÁLTICO NO MUNICÍPIO DE CÉU AZUL</v>
      </c>
      <c r="U8" s="720"/>
      <c r="V8" s="720"/>
      <c r="W8" s="720"/>
      <c r="X8" s="720"/>
      <c r="Y8" s="716" t="str">
        <f>IF(TIPOORCAMENTO="Licitado",Import.empresa,Import.DescLote)</f>
        <v>RECAPE ASFÁLTICO EM DIVERSAS RUAS DO MUNICÍPIO</v>
      </c>
      <c r="Z8" s="716"/>
      <c r="AA8" s="716"/>
      <c r="AB8" s="716"/>
      <c r="AC8" s="716"/>
      <c r="AD8" s="716"/>
      <c r="AE8" s="275" t="str">
        <f>IF(TIPOORCAMENTO="Licitado",Import.CTEF,"")</f>
        <v/>
      </c>
    </row>
    <row r="9" spans="1:32" x14ac:dyDescent="0.2">
      <c r="E9" s="144"/>
      <c r="F9" s="676"/>
      <c r="G9" s="722"/>
    </row>
    <row r="10" spans="1:32" x14ac:dyDescent="0.2">
      <c r="E10" s="267"/>
      <c r="F10" s="676"/>
      <c r="G10" s="276">
        <v>2</v>
      </c>
      <c r="J10" s="721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1"/>
      <c r="L10" s="721"/>
      <c r="M10" s="721"/>
      <c r="N10" s="721"/>
      <c r="O10" s="721"/>
      <c r="P10" s="721"/>
      <c r="Q10" s="721"/>
      <c r="R10" s="721"/>
      <c r="S10" s="721"/>
    </row>
    <row r="11" spans="1:32" ht="12.75" customHeight="1" x14ac:dyDescent="0.2">
      <c r="F11" s="676"/>
      <c r="H11" s="277"/>
      <c r="I11" s="277"/>
      <c r="J11" s="721"/>
      <c r="K11" s="721"/>
      <c r="L11" s="721"/>
      <c r="M11" s="721"/>
      <c r="N11" s="721"/>
      <c r="O11" s="721"/>
      <c r="P11" s="721"/>
      <c r="Q11" s="721"/>
      <c r="R11" s="721"/>
      <c r="S11" s="721"/>
    </row>
    <row r="12" spans="1:32" ht="12.75" customHeight="1" x14ac:dyDescent="0.2">
      <c r="D12" s="278">
        <f ca="1">OFFSET(D12,0,-1)+1</f>
        <v>1</v>
      </c>
      <c r="F12" s="136" t="s">
        <v>216</v>
      </c>
      <c r="G12" s="724" t="s">
        <v>273</v>
      </c>
      <c r="H12" s="725" t="s">
        <v>230</v>
      </c>
      <c r="I12" s="726" t="s">
        <v>233</v>
      </c>
      <c r="J12" s="279"/>
      <c r="K12" s="279"/>
      <c r="L12" s="280"/>
      <c r="M12" s="280"/>
      <c r="N12" s="280"/>
      <c r="O12" s="280"/>
      <c r="P12" s="280"/>
      <c r="Q12" s="280"/>
      <c r="R12" s="717" t="s">
        <v>274</v>
      </c>
      <c r="S12" s="718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4"/>
      <c r="H13" s="725"/>
      <c r="I13" s="726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7"/>
      <c r="S13" s="718"/>
      <c r="T13" s="288">
        <v>44166</v>
      </c>
      <c r="U13" s="284">
        <f ca="1">OFFSET(U13,0,-1)+41-DAY(OFFSET(U13,0,-1)+40)</f>
        <v>44197</v>
      </c>
      <c r="V13" s="284">
        <f ca="1">OFFSET(V13,0,-1)+41-DAY(OFFSET(V13,0,-1)+40)</f>
        <v>44228</v>
      </c>
      <c r="W13" s="284">
        <f t="shared" ref="W13:AE13" ca="1" si="2">OFFSET(W13,0,-1)+41-DAY(OFFSET(W13,0,-1)+40)</f>
        <v>44256</v>
      </c>
      <c r="X13" s="284">
        <f t="shared" ca="1" si="2"/>
        <v>44287</v>
      </c>
      <c r="Y13" s="284">
        <f t="shared" ca="1" si="2"/>
        <v>44317</v>
      </c>
      <c r="Z13" s="284">
        <f t="shared" ca="1" si="2"/>
        <v>44348</v>
      </c>
      <c r="AA13" s="284">
        <f t="shared" ca="1" si="2"/>
        <v>44378</v>
      </c>
      <c r="AB13" s="284">
        <f t="shared" ca="1" si="2"/>
        <v>44409</v>
      </c>
      <c r="AC13" s="284">
        <f t="shared" ca="1" si="2"/>
        <v>44440</v>
      </c>
      <c r="AD13" s="284">
        <f t="shared" ca="1" si="2"/>
        <v>44470</v>
      </c>
      <c r="AE13" s="289">
        <f t="shared" ca="1" si="2"/>
        <v>44501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0.42675165675266852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RECAPE ASFÁLTICO EM DIVERSAS RUAS DO MINICÍPIO DE CÉU AZUL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17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17</v>
      </c>
      <c r="R14" s="248">
        <f ca="1">IF($E15=0,OFFSET(ORÇAMENTO!X$15,$E14,0),IF($E15&lt;&gt;-1,OFFSET(QCI!$O$13,$E15,0),""))</f>
        <v>462522.87</v>
      </c>
      <c r="S14" s="249" t="s">
        <v>269</v>
      </c>
      <c r="T14" s="250">
        <f t="shared" ref="T14:AE14" ca="1" si="3">IF(AND($Q14=2,ACOMPANHAMENTO="BM"),T15,T16/$R14)</f>
        <v>0.42675165675266852</v>
      </c>
      <c r="U14" s="242">
        <f t="shared" ca="1" si="3"/>
        <v>0.57324834324733132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197382.40105849912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197382.40105849912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265140.46894150082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1.0000000000000002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0.55349746780930664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 t="str">
        <f ca="1">IF(OR(R17=0,R17=""),"Linha",IF(AND(OR(ACOMPANHAMENTO="PLE",$Q17&lt;&gt;2),$E18=0),"Linha",1-SUM(T17:AF17)))</f>
        <v>Linha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SERVIÇOS PRELIMINARES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14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4259.4799999999996</v>
      </c>
      <c r="S17" s="249" t="s">
        <v>269</v>
      </c>
      <c r="T17" s="250">
        <f t="shared" ref="T17:AE17" ca="1" si="4">IF(AND($Q17=2,ACOMPANHAMENTO="BM"),T18,T19/$R17)</f>
        <v>0.55349746780930664</v>
      </c>
      <c r="U17" s="242">
        <f t="shared" ca="1" si="4"/>
        <v>0.44650253219069352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calculada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0.5</v>
      </c>
      <c r="U18" s="620">
        <v>0.3</v>
      </c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2357.6113941843851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2357.6113941843851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1901.868605815615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0.45098990125905147</v>
      </c>
      <c r="E20" s="239">
        <f ca="1">IF(A20&lt;=ORÇAMENTO.MáximoListaCrono,MATCH(A20,ORÇAMENTO.ListaCrono,0),NA())</f>
        <v>7</v>
      </c>
      <c r="F20" s="239" t="str">
        <f ca="1">IF(AND($E21&lt;&gt;-1,$R20&gt;0),"F","")</f>
        <v>F</v>
      </c>
      <c r="G20" s="243" t="str">
        <f ca="1">IF(OR(R20=0,R20=""),"Linha",IF(AND(OR(ACOMPANHAMENTO="PLE",$Q20&lt;&gt;2),$E21=0),"Linha",1-SUM(T20:AF20)))</f>
        <v>Linha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REPERFILAMENTO ASFÁLTICO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11</v>
      </c>
      <c r="N20" s="247">
        <f ca="1">IF($E21=-1,0,IF(N$13&lt;=$L20,IF(ISERROR(MATCH(N$13,OFFSET($L20,1,0,ROW($L$164)-ROW($L20)-1),0)),ROW($L$164)-ROW($L20)-1,MATCH(N$13,OFFSET($L20,1,0,ROW($L$164)-ROW($L20)-1),0)-1),0))</f>
        <v>2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125956.35</v>
      </c>
      <c r="S20" s="249" t="s">
        <v>269</v>
      </c>
      <c r="T20" s="250">
        <f t="shared" ref="T20:AE20" ca="1" si="5">IF(AND($Q20=2,ACOMPANHAMENTO="BM"),T21,T22/$R20)</f>
        <v>0.45098990125905147</v>
      </c>
      <c r="U20" s="242">
        <f t="shared" ca="1" si="5"/>
        <v>0.54901009874094853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calculada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>
        <v>0.6</v>
      </c>
      <c r="U21" s="620">
        <v>0.4</v>
      </c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56805.041849450528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56805.041849450528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69151.308150549477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0.4343858787600014</v>
      </c>
      <c r="E23" s="239">
        <f ca="1">IF(A23&lt;=ORÇAMENTO.MáximoListaCrono,MATCH(A23,ORÇAMENTO.ListaCrono,0),NA())</f>
        <v>15</v>
      </c>
      <c r="F23" s="239" t="str">
        <f ca="1">IF(AND($E24&lt;&gt;-1,$R23&gt;0),"F","")</f>
        <v>F</v>
      </c>
      <c r="G23" s="243" t="str">
        <f ca="1">IF(OR(R23=0,R23=""),"Linha",IF(AND(OR(ACOMPANHAMENTO="PLE",$Q23&lt;&gt;2),$E24=0),"Linha",1-SUM(T23:AF23)))</f>
        <v>Linha</v>
      </c>
      <c r="H23" s="244" t="str">
        <f ca="1">IF($E24=0,OFFSET(ORÇAMENTO!O$15,$E23,0),IF($E24&lt;&gt;-1,OFFSET(QCI!$D$13,$E24,0),""))</f>
        <v>1.3.</v>
      </c>
      <c r="I23" s="245" t="str">
        <f ca="1">IF($E24=0,OFFSET(ORÇAMENTO!R$15,$E23,0),IF($E24&lt;&gt;-1,OFFSET(QCI!$G$13,$E24,0),""))</f>
        <v>RECAPEAMENTO ASFÁLTICO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8</v>
      </c>
      <c r="N23" s="247">
        <f ca="1">IF($E24=-1,0,IF(N$13&lt;=$L23,IF(ISERROR(MATCH(N$13,OFFSET($L23,1,0,ROW($L$164)-ROW($L23)-1),0)),ROW($L$164)-ROW($L23)-1,MATCH(N$13,OFFSET($L23,1,0,ROW($L$164)-ROW($L23)-1),0)-1),0))</f>
        <v>2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304428.87</v>
      </c>
      <c r="S23" s="249" t="s">
        <v>269</v>
      </c>
      <c r="T23" s="250">
        <f t="shared" ref="T23:AE23" ca="1" si="6">IF(AND($Q23=2,ACOMPANHAMENTO="BM"),T24,T25/$R23)</f>
        <v>0.4343858787600014</v>
      </c>
      <c r="U23" s="242">
        <f t="shared" ca="1" si="6"/>
        <v>0.56561412123999855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calculada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>
        <v>1</v>
      </c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132239.60221486422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132239.60221486422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172189.26778513574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24</v>
      </c>
      <c r="F26" s="239" t="str">
        <f ca="1">IF(AND($E27&lt;&gt;-1,$R26&gt;0),"F","")</f>
        <v>F</v>
      </c>
      <c r="G26" s="243" t="str">
        <f ca="1">IF(OR(R26=0,R26=""),"Linha",IF(AND(OR(ACOMPANHAMENTO="PLE",$Q26&lt;&gt;2),$E27=0),"Linha",1-SUM(T26:AF26)))</f>
        <v>Linha</v>
      </c>
      <c r="H26" s="244" t="str">
        <f ca="1">IF($E27=0,OFFSET(ORÇAMENTO!O$15,$E26,0),IF($E27&lt;&gt;-1,OFFSET(QCI!$D$13,$E27,0),""))</f>
        <v>1.4.</v>
      </c>
      <c r="I26" s="245" t="str">
        <f ca="1">IF($E27=0,OFFSET(ORÇAMENTO!R$15,$E26,0),IF($E27&lt;&gt;-1,OFFSET(QCI!$G$13,$E27,0),""))</f>
        <v>SINALIZAÇÃO VIÁRIA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5</v>
      </c>
      <c r="N26" s="247">
        <f ca="1">IF($E27=-1,0,IF(N$13&lt;=$L26,IF(ISERROR(MATCH(N$13,OFFSET($L26,1,0,ROW($L$164)-ROW($L26)-1),0)),ROW($L$164)-ROW($L26)-1,MATCH(N$13,OFFSET($L26,1,0,ROW($L$164)-ROW($L26)-1),0)-1),0))</f>
        <v>2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14985.91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1.0000000000000002</v>
      </c>
      <c r="V26" s="242">
        <f t="shared" ca="1" si="7"/>
        <v>0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calculada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>
        <v>1</v>
      </c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14985.910000000002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0.46385549158952721</v>
      </c>
      <c r="E29" s="239">
        <f ca="1">IF(A29&lt;=ORÇAMENTO.MáximoListaCrono,MATCH(A29,ORÇAMENTO.ListaCrono,0),NA())</f>
        <v>36</v>
      </c>
      <c r="F29" s="239" t="str">
        <f ca="1">IF(AND($E30&lt;&gt;-1,$R29&gt;0),"F","")</f>
        <v>F</v>
      </c>
      <c r="G29" s="243" t="str">
        <f ca="1">IF(OR(R29=0,R29=""),"Linha",IF(AND(OR(ACOMPANHAMENTO="PLE",$Q29&lt;&gt;2),$E30=0),"Linha",1-SUM(T29:AF29)))</f>
        <v>Linha</v>
      </c>
      <c r="H29" s="244" t="str">
        <f ca="1">IF($E30=0,OFFSET(ORÇAMENTO!O$15,$E29,0),IF($E30&lt;&gt;-1,OFFSET(QCI!$D$13,$E30,0),""))</f>
        <v>1.5.</v>
      </c>
      <c r="I29" s="245" t="str">
        <f ca="1">IF($E30=0,OFFSET(ORÇAMENTO!R$15,$E29,0),IF($E30&lt;&gt;-1,OFFSET(QCI!$G$13,$E30,0),""))</f>
        <v>ENSAIOS TECNOLÓGICOS</v>
      </c>
      <c r="J29" s="245"/>
      <c r="K29" s="245"/>
      <c r="L29" s="246">
        <f ca="1">IF($E30=0,OFFSET(ORÇAMENTO!C$15,$E29,0),1)</f>
        <v>2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134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12892.26</v>
      </c>
      <c r="S29" s="249" t="s">
        <v>269</v>
      </c>
      <c r="T29" s="250">
        <f t="shared" ref="T29:AE29" ca="1" si="8">IF(AND($Q29=2,ACOMPANHAMENTO="BM"),T30,T31/$R29)</f>
        <v>0.46385549158952721</v>
      </c>
      <c r="U29" s="242">
        <f t="shared" ca="1" si="8"/>
        <v>0.53614450841047268</v>
      </c>
      <c r="V29" s="242">
        <f t="shared" ca="1" si="8"/>
        <v>0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calculada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5980.145599999998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2$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5980.145599999998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6912.1144000000004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1</v>
      </c>
      <c r="D32" s="242" t="e">
        <f ca="1">IF(AND($Q32=2,ACOMPANHAMENTO="BM"),D33,D34/$R32)</f>
        <v>#DIV/0!</v>
      </c>
      <c r="E32" s="239" t="e">
        <f ca="1">IF(A32&lt;=ORÇAMENTO.MáximoListaCrono,MATCH(A32,ORÇAMENTO.ListaCrono,0),NA())</f>
        <v>#N/A</v>
      </c>
      <c r="F32" s="239" t="str">
        <f ca="1">IF(AND($E33&lt;&gt;-1,$R32&gt;0),"F","")</f>
        <v/>
      </c>
      <c r="G32" s="243" t="str">
        <f ca="1">IF(OR(R32=0,R32=""),"Linha",IF(AND(OR(ACOMPANHAMENTO="PLE",$Q32&lt;&gt;2),$E33=0),"Linha",1-SUM(T32:AF32)))</f>
        <v>Linha</v>
      </c>
      <c r="H32" s="244">
        <f ca="1">IF($E33=0,OFFSET(ORÇAMENTO!O$15,$E32,0),IF($E33&lt;&gt;-1,OFFSET(QCI!$D$13,$E33,0),""))</f>
        <v>2</v>
      </c>
      <c r="I32" s="245" t="str">
        <f ca="1">IF($E33=0,OFFSET(ORÇAMENTO!R$15,$E32,0),IF($E33&lt;&gt;-1,OFFSET(QCI!$G$13,$E33,0),""))</f>
        <v/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0</v>
      </c>
      <c r="S32" s="249" t="s">
        <v>269</v>
      </c>
      <c r="T32" s="250" t="e">
        <f t="shared" ref="T32:AE32" ca="1" si="9">IF(AND($Q32=2,ACOMPANHAMENTO="BM"),T33,T34/$R32)</f>
        <v>#DIV/0!</v>
      </c>
      <c r="U32" s="242" t="e">
        <f t="shared" ca="1" si="9"/>
        <v>#DIV/0!</v>
      </c>
      <c r="V32" s="242" t="e">
        <f t="shared" ca="1" si="9"/>
        <v>#DIV/0!</v>
      </c>
      <c r="W32" s="242" t="e">
        <f t="shared" ca="1" si="9"/>
        <v>#DIV/0!</v>
      </c>
      <c r="X32" s="242" t="e">
        <f t="shared" ca="1" si="9"/>
        <v>#DIV/0!</v>
      </c>
      <c r="Y32" s="242" t="e">
        <f t="shared" ca="1" si="9"/>
        <v>#DIV/0!</v>
      </c>
      <c r="Z32" s="242" t="e">
        <f t="shared" ca="1" si="9"/>
        <v>#DIV/0!</v>
      </c>
      <c r="AA32" s="242" t="e">
        <f t="shared" ca="1" si="9"/>
        <v>#DIV/0!</v>
      </c>
      <c r="AB32" s="242" t="e">
        <f t="shared" ca="1" si="9"/>
        <v>#DIV/0!</v>
      </c>
      <c r="AC32" s="242" t="e">
        <f t="shared" ca="1" si="9"/>
        <v>#DIV/0!</v>
      </c>
      <c r="AD32" s="242" t="e">
        <f t="shared" ca="1" si="9"/>
        <v>#DIV/0!</v>
      </c>
      <c r="AE32" s="251" t="e">
        <f t="shared" ca="1" si="9"/>
        <v>#DIV/0!</v>
      </c>
    </row>
    <row r="33" spans="1:32" ht="12.75" hidden="1" customHeight="1" x14ac:dyDescent="0.2">
      <c r="D33" s="620"/>
      <c r="E33" s="239">
        <f ca="1">IF(ISERROR(E32),IF(1+COUNTIF($L$13:OFFSET(L32,-1,0),1)&lt;=MAX(QCI!$D$13:$D$24),1+COUNTIF($L$13:OFFSET(L32,-1,0),1),-1),0)</f>
        <v>2</v>
      </c>
      <c r="F33" s="239" t="str">
        <f ca="1">IF(AND($E33&lt;&gt;-1,$R32&gt;0),"F","")</f>
        <v/>
      </c>
      <c r="G33" s="252" t="str">
        <f ca="1">IF(OR(R32=0,R32=""),"vazia",IF(AND(OR(ACOMPANHAMENTO="PLE",$Q32&lt;&gt;2),$E33=0),"calculada","--&gt;"))</f>
        <v>vazia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1</v>
      </c>
      <c r="D35" s="242" t="e">
        <f ca="1">IF(AND($Q35=2,ACOMPANHAMENTO="BM"),D36,D37/$R35)</f>
        <v>#DIV/0!</v>
      </c>
      <c r="E35" s="239" t="e">
        <f ca="1">IF(A35&lt;=ORÇAMENTO.MáximoListaCrono,MATCH(A35,ORÇAMENTO.ListaCrono,0),NA())</f>
        <v>#N/A</v>
      </c>
      <c r="F35" s="239" t="str">
        <f ca="1">IF(AND($E36&lt;&gt;-1,$R35&gt;0),"F","")</f>
        <v/>
      </c>
      <c r="G35" s="243" t="str">
        <f ca="1">IF(OR(R35=0,R35=""),"Linha",IF(AND(OR(ACOMPANHAMENTO="PLE",$Q35&lt;&gt;2),$E36=0),"Linha",1-SUM(T35:AF35)))</f>
        <v>Linha</v>
      </c>
      <c r="H35" s="244">
        <f ca="1">IF($E36=0,OFFSET(ORÇAMENTO!O$15,$E35,0),IF($E36&lt;&gt;-1,OFFSET(QCI!$D$13,$E36,0),""))</f>
        <v>3</v>
      </c>
      <c r="I35" s="245" t="str">
        <f ca="1">IF($E36=0,OFFSET(ORÇAMENTO!R$15,$E35,0),IF($E36&lt;&gt;-1,OFFSET(QCI!$G$13,$E36,0),""))</f>
        <v/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0</v>
      </c>
      <c r="S35" s="249" t="s">
        <v>269</v>
      </c>
      <c r="T35" s="250" t="e">
        <f t="shared" ref="T35:AE35" ca="1" si="10">IF(AND($Q35=2,ACOMPANHAMENTO="BM"),T36,T37/$R35)</f>
        <v>#DIV/0!</v>
      </c>
      <c r="U35" s="242" t="e">
        <f t="shared" ca="1" si="10"/>
        <v>#DIV/0!</v>
      </c>
      <c r="V35" s="242" t="e">
        <f t="shared" ca="1" si="10"/>
        <v>#DIV/0!</v>
      </c>
      <c r="W35" s="242" t="e">
        <f t="shared" ca="1" si="10"/>
        <v>#DIV/0!</v>
      </c>
      <c r="X35" s="242" t="e">
        <f t="shared" ca="1" si="10"/>
        <v>#DIV/0!</v>
      </c>
      <c r="Y35" s="242" t="e">
        <f t="shared" ca="1" si="10"/>
        <v>#DIV/0!</v>
      </c>
      <c r="Z35" s="242" t="e">
        <f t="shared" ca="1" si="10"/>
        <v>#DIV/0!</v>
      </c>
      <c r="AA35" s="242" t="e">
        <f t="shared" ca="1" si="10"/>
        <v>#DIV/0!</v>
      </c>
      <c r="AB35" s="242" t="e">
        <f t="shared" ca="1" si="10"/>
        <v>#DIV/0!</v>
      </c>
      <c r="AC35" s="242" t="e">
        <f t="shared" ca="1" si="10"/>
        <v>#DIV/0!</v>
      </c>
      <c r="AD35" s="242" t="e">
        <f t="shared" ca="1" si="10"/>
        <v>#DIV/0!</v>
      </c>
      <c r="AE35" s="251" t="e">
        <f t="shared" ca="1" si="10"/>
        <v>#DIV/0!</v>
      </c>
    </row>
    <row r="36" spans="1:32" ht="12.75" hidden="1" customHeight="1" x14ac:dyDescent="0.2">
      <c r="D36" s="620"/>
      <c r="E36" s="239">
        <f ca="1">IF(ISERROR(E35),IF(1+COUNTIF($L$13:OFFSET(L35,-1,0),1)&lt;=MAX(QCI!$D$13:$D$24),1+COUNTIF($L$13:OFFSET(L35,-1,0),1),-1),0)</f>
        <v>3</v>
      </c>
      <c r="F36" s="239" t="str">
        <f ca="1">IF(AND($E36&lt;&gt;-1,$R35&gt;0),"F","")</f>
        <v/>
      </c>
      <c r="G36" s="252" t="str">
        <f ca="1">IF(OR(R35=0,R35=""),"vazia",IF(AND(OR(ACOMPANHAMENTO="PLE",$Q35&lt;&gt;2),$E36=0),"calculada","--&gt;"))</f>
        <v>vazia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1</v>
      </c>
      <c r="D38" s="242" t="e">
        <f ca="1">IF(AND($Q38=2,ACOMPANHAMENTO="BM"),D39,D40/$R38)</f>
        <v>#DIV/0!</v>
      </c>
      <c r="E38" s="239" t="e">
        <f ca="1">IF(A38&lt;=ORÇAMENTO.MáximoListaCrono,MATCH(A38,ORÇAMENTO.ListaCrono,0),NA())</f>
        <v>#N/A</v>
      </c>
      <c r="F38" s="239" t="str">
        <f ca="1">IF(AND($E39&lt;&gt;-1,$R38&gt;0),"F","")</f>
        <v/>
      </c>
      <c r="G38" s="243" t="str">
        <f ca="1">IF(OR(R38=0,R38=""),"Linha",IF(AND(OR(ACOMPANHAMENTO="PLE",$Q38&lt;&gt;2),$E39=0),"Linha",1-SUM(T38:AF38)))</f>
        <v>Linha</v>
      </c>
      <c r="H38" s="244">
        <f ca="1">IF($E39=0,OFFSET(ORÇAMENTO!O$15,$E38,0),IF($E39&lt;&gt;-1,OFFSET(QCI!$D$13,$E39,0),""))</f>
        <v>4</v>
      </c>
      <c r="I38" s="245" t="str">
        <f ca="1">IF($E39=0,OFFSET(ORÇAMENTO!R$15,$E38,0),IF($E39&lt;&gt;-1,OFFSET(QCI!$G$13,$E39,0),""))</f>
        <v/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0</v>
      </c>
      <c r="S38" s="249" t="s">
        <v>269</v>
      </c>
      <c r="T38" s="250" t="e">
        <f t="shared" ref="T38:AE38" ca="1" si="11">IF(AND($Q38=2,ACOMPANHAMENTO="BM"),T39,T40/$R38)</f>
        <v>#DIV/0!</v>
      </c>
      <c r="U38" s="242" t="e">
        <f t="shared" ca="1" si="11"/>
        <v>#DIV/0!</v>
      </c>
      <c r="V38" s="242" t="e">
        <f t="shared" ca="1" si="11"/>
        <v>#DIV/0!</v>
      </c>
      <c r="W38" s="242" t="e">
        <f t="shared" ca="1" si="11"/>
        <v>#DIV/0!</v>
      </c>
      <c r="X38" s="242" t="e">
        <f t="shared" ca="1" si="11"/>
        <v>#DIV/0!</v>
      </c>
      <c r="Y38" s="242" t="e">
        <f t="shared" ca="1" si="11"/>
        <v>#DIV/0!</v>
      </c>
      <c r="Z38" s="242" t="e">
        <f t="shared" ca="1" si="11"/>
        <v>#DIV/0!</v>
      </c>
      <c r="AA38" s="242" t="e">
        <f t="shared" ca="1" si="11"/>
        <v>#DIV/0!</v>
      </c>
      <c r="AB38" s="242" t="e">
        <f t="shared" ca="1" si="11"/>
        <v>#DIV/0!</v>
      </c>
      <c r="AC38" s="242" t="e">
        <f t="shared" ca="1" si="11"/>
        <v>#DIV/0!</v>
      </c>
      <c r="AD38" s="242" t="e">
        <f t="shared" ca="1" si="11"/>
        <v>#DIV/0!</v>
      </c>
      <c r="AE38" s="251" t="e">
        <f t="shared" ca="1" si="11"/>
        <v>#DIV/0!</v>
      </c>
    </row>
    <row r="39" spans="1:32" ht="12.75" hidden="1" customHeight="1" x14ac:dyDescent="0.2">
      <c r="D39" s="620"/>
      <c r="E39" s="239">
        <f ca="1">IF(ISERROR(E38),IF(1+COUNTIF($L$13:OFFSET(L38,-1,0),1)&lt;=MAX(QCI!$D$13:$D$24),1+COUNTIF($L$13:OFFSET(L38,-1,0),1),-1),0)</f>
        <v>4</v>
      </c>
      <c r="F39" s="239" t="str">
        <f ca="1">IF(AND($E39&lt;&gt;-1,$R38&gt;0),"F","")</f>
        <v/>
      </c>
      <c r="G39" s="252" t="str">
        <f ca="1">IF(OR(R38=0,R38=""),"vazia",IF(AND(OR(ACOMPANHAMENTO="PLE",$Q38&lt;&gt;2),$E39=0),"calculada","--&gt;"))</f>
        <v>vazia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 t="e">
        <f ca="1">IF(AND($Q41=2,ACOMPANHAMENTO="BM"),D42,D43/$R41)</f>
        <v>#DIV/0!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5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 t="e">
        <f t="shared" ref="T41:AE41" ca="1" si="12">IF(AND($Q41=2,ACOMPANHAMENTO="BM"),T42,T43/$R41)</f>
        <v>#DIV/0!</v>
      </c>
      <c r="U41" s="242" t="e">
        <f t="shared" ca="1" si="12"/>
        <v>#DIV/0!</v>
      </c>
      <c r="V41" s="242" t="e">
        <f t="shared" ca="1" si="12"/>
        <v>#DIV/0!</v>
      </c>
      <c r="W41" s="242" t="e">
        <f t="shared" ca="1" si="12"/>
        <v>#DIV/0!</v>
      </c>
      <c r="X41" s="242" t="e">
        <f t="shared" ca="1" si="12"/>
        <v>#DIV/0!</v>
      </c>
      <c r="Y41" s="242" t="e">
        <f t="shared" ca="1" si="12"/>
        <v>#DIV/0!</v>
      </c>
      <c r="Z41" s="242" t="e">
        <f t="shared" ca="1" si="12"/>
        <v>#DIV/0!</v>
      </c>
      <c r="AA41" s="242" t="e">
        <f t="shared" ca="1" si="12"/>
        <v>#DIV/0!</v>
      </c>
      <c r="AB41" s="242" t="e">
        <f t="shared" ca="1" si="12"/>
        <v>#DIV/0!</v>
      </c>
      <c r="AC41" s="242" t="e">
        <f t="shared" ca="1" si="12"/>
        <v>#DIV/0!</v>
      </c>
      <c r="AD41" s="242" t="e">
        <f t="shared" ca="1" si="12"/>
        <v>#DIV/0!</v>
      </c>
      <c r="AE41" s="251" t="e">
        <f t="shared" ca="1" si="12"/>
        <v>#DIV/0!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5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1</v>
      </c>
      <c r="D44" s="242" t="e">
        <f ca="1">IF(AND($Q44=2,ACOMPANHAMENTO="BM"),D45,D46/$R44)</f>
        <v>#DIV/0!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>
        <f ca="1">IF($E45=0,OFFSET(ORÇAMENTO!O$15,$E44,0),IF($E45&lt;&gt;-1,OFFSET(QCI!$D$13,$E45,0),""))</f>
        <v>6</v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0</v>
      </c>
      <c r="S44" s="249" t="s">
        <v>269</v>
      </c>
      <c r="T44" s="250" t="e">
        <f t="shared" ref="T44:AE44" ca="1" si="13">IF(AND($Q44=2,ACOMPANHAMENTO="BM"),T45,T46/$R44)</f>
        <v>#DIV/0!</v>
      </c>
      <c r="U44" s="242" t="e">
        <f t="shared" ca="1" si="13"/>
        <v>#DIV/0!</v>
      </c>
      <c r="V44" s="242" t="e">
        <f t="shared" ca="1" si="13"/>
        <v>#DIV/0!</v>
      </c>
      <c r="W44" s="242" t="e">
        <f t="shared" ca="1" si="13"/>
        <v>#DIV/0!</v>
      </c>
      <c r="X44" s="242" t="e">
        <f t="shared" ca="1" si="13"/>
        <v>#DIV/0!</v>
      </c>
      <c r="Y44" s="242" t="e">
        <f t="shared" ca="1" si="13"/>
        <v>#DIV/0!</v>
      </c>
      <c r="Z44" s="242" t="e">
        <f t="shared" ca="1" si="13"/>
        <v>#DIV/0!</v>
      </c>
      <c r="AA44" s="242" t="e">
        <f t="shared" ca="1" si="13"/>
        <v>#DIV/0!</v>
      </c>
      <c r="AB44" s="242" t="e">
        <f t="shared" ca="1" si="13"/>
        <v>#DIV/0!</v>
      </c>
      <c r="AC44" s="242" t="e">
        <f t="shared" ca="1" si="13"/>
        <v>#DIV/0!</v>
      </c>
      <c r="AD44" s="242" t="e">
        <f t="shared" ca="1" si="13"/>
        <v>#DIV/0!</v>
      </c>
      <c r="AE44" s="251" t="e">
        <f t="shared" ca="1" si="13"/>
        <v>#DIV/0!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6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1</v>
      </c>
      <c r="D47" s="242" t="e">
        <f ca="1">IF(AND($Q47=2,ACOMPANHAMENTO="BM"),D48,D49/$R47)</f>
        <v>#DIV/0!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>
        <f ca="1">IF($E48=0,OFFSET(ORÇAMENTO!O$15,$E47,0),IF($E48&lt;&gt;-1,OFFSET(QCI!$D$13,$E48,0),""))</f>
        <v>7</v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0</v>
      </c>
      <c r="S47" s="249" t="s">
        <v>269</v>
      </c>
      <c r="T47" s="250" t="e">
        <f t="shared" ref="T47:AE47" ca="1" si="14">IF(AND($Q47=2,ACOMPANHAMENTO="BM"),T48,T49/$R47)</f>
        <v>#DIV/0!</v>
      </c>
      <c r="U47" s="242" t="e">
        <f t="shared" ca="1" si="14"/>
        <v>#DIV/0!</v>
      </c>
      <c r="V47" s="242" t="e">
        <f t="shared" ca="1" si="14"/>
        <v>#DIV/0!</v>
      </c>
      <c r="W47" s="242" t="e">
        <f t="shared" ca="1" si="14"/>
        <v>#DIV/0!</v>
      </c>
      <c r="X47" s="242" t="e">
        <f t="shared" ca="1" si="14"/>
        <v>#DIV/0!</v>
      </c>
      <c r="Y47" s="242" t="e">
        <f t="shared" ca="1" si="14"/>
        <v>#DIV/0!</v>
      </c>
      <c r="Z47" s="242" t="e">
        <f t="shared" ca="1" si="14"/>
        <v>#DIV/0!</v>
      </c>
      <c r="AA47" s="242" t="e">
        <f t="shared" ca="1" si="14"/>
        <v>#DIV/0!</v>
      </c>
      <c r="AB47" s="242" t="e">
        <f t="shared" ca="1" si="14"/>
        <v>#DIV/0!</v>
      </c>
      <c r="AC47" s="242" t="e">
        <f t="shared" ca="1" si="14"/>
        <v>#DIV/0!</v>
      </c>
      <c r="AD47" s="242" t="e">
        <f t="shared" ca="1" si="14"/>
        <v>#DIV/0!</v>
      </c>
      <c r="AE47" s="251" t="e">
        <f t="shared" ca="1" si="14"/>
        <v>#DIV/0!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7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1</v>
      </c>
      <c r="D50" s="242" t="e">
        <f ca="1">IF(AND($Q50=2,ACOMPANHAMENTO="BM"),D51,D52/$R50)</f>
        <v>#DIV/0!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>
        <f ca="1">IF($E51=0,OFFSET(ORÇAMENTO!O$15,$E50,0),IF($E51&lt;&gt;-1,OFFSET(QCI!$D$13,$E51,0),""))</f>
        <v>8</v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0</v>
      </c>
      <c r="S50" s="249" t="s">
        <v>269</v>
      </c>
      <c r="T50" s="250" t="e">
        <f t="shared" ref="T50:AE50" ca="1" si="15">IF(AND($Q50=2,ACOMPANHAMENTO="BM"),T51,T52/$R50)</f>
        <v>#DIV/0!</v>
      </c>
      <c r="U50" s="242" t="e">
        <f t="shared" ca="1" si="15"/>
        <v>#DIV/0!</v>
      </c>
      <c r="V50" s="242" t="e">
        <f t="shared" ca="1" si="15"/>
        <v>#DIV/0!</v>
      </c>
      <c r="W50" s="242" t="e">
        <f t="shared" ca="1" si="15"/>
        <v>#DIV/0!</v>
      </c>
      <c r="X50" s="242" t="e">
        <f t="shared" ca="1" si="15"/>
        <v>#DIV/0!</v>
      </c>
      <c r="Y50" s="242" t="e">
        <f t="shared" ca="1" si="15"/>
        <v>#DIV/0!</v>
      </c>
      <c r="Z50" s="242" t="e">
        <f t="shared" ca="1" si="15"/>
        <v>#DIV/0!</v>
      </c>
      <c r="AA50" s="242" t="e">
        <f t="shared" ca="1" si="15"/>
        <v>#DIV/0!</v>
      </c>
      <c r="AB50" s="242" t="e">
        <f t="shared" ca="1" si="15"/>
        <v>#DIV/0!</v>
      </c>
      <c r="AC50" s="242" t="e">
        <f t="shared" ca="1" si="15"/>
        <v>#DIV/0!</v>
      </c>
      <c r="AD50" s="242" t="e">
        <f t="shared" ca="1" si="15"/>
        <v>#DIV/0!</v>
      </c>
      <c r="AE50" s="251" t="e">
        <f t="shared" ca="1" si="15"/>
        <v>#DIV/0!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8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1</v>
      </c>
      <c r="D53" s="242" t="e">
        <f ca="1">IF(AND($Q53=2,ACOMPANHAMENTO="BM"),D54,D55/$R53)</f>
        <v>#DIV/0!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>
        <f ca="1">IF($E54=0,OFFSET(ORÇAMENTO!O$15,$E53,0),IF($E54&lt;&gt;-1,OFFSET(QCI!$D$13,$E54,0),""))</f>
        <v>9</v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0</v>
      </c>
      <c r="S53" s="249" t="s">
        <v>269</v>
      </c>
      <c r="T53" s="250" t="e">
        <f t="shared" ref="T53:AE53" ca="1" si="16">IF(AND($Q53=2,ACOMPANHAMENTO="BM"),T54,T55/$R53)</f>
        <v>#DIV/0!</v>
      </c>
      <c r="U53" s="242" t="e">
        <f t="shared" ca="1" si="16"/>
        <v>#DIV/0!</v>
      </c>
      <c r="V53" s="242" t="e">
        <f t="shared" ca="1" si="16"/>
        <v>#DIV/0!</v>
      </c>
      <c r="W53" s="242" t="e">
        <f t="shared" ca="1" si="16"/>
        <v>#DIV/0!</v>
      </c>
      <c r="X53" s="242" t="e">
        <f t="shared" ca="1" si="16"/>
        <v>#DIV/0!</v>
      </c>
      <c r="Y53" s="242" t="e">
        <f t="shared" ca="1" si="16"/>
        <v>#DIV/0!</v>
      </c>
      <c r="Z53" s="242" t="e">
        <f t="shared" ca="1" si="16"/>
        <v>#DIV/0!</v>
      </c>
      <c r="AA53" s="242" t="e">
        <f t="shared" ca="1" si="16"/>
        <v>#DIV/0!</v>
      </c>
      <c r="AB53" s="242" t="e">
        <f t="shared" ca="1" si="16"/>
        <v>#DIV/0!</v>
      </c>
      <c r="AC53" s="242" t="e">
        <f t="shared" ca="1" si="16"/>
        <v>#DIV/0!</v>
      </c>
      <c r="AD53" s="242" t="e">
        <f t="shared" ca="1" si="16"/>
        <v>#DIV/0!</v>
      </c>
      <c r="AE53" s="251" t="e">
        <f t="shared" ca="1" si="16"/>
        <v>#DIV/0!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9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1</v>
      </c>
      <c r="C56" s="239">
        <f ca="1">IF($Q56&lt;&gt;2,0,IF($R56=0,1,IF(E57&gt;0,OFFSET(QCI!$N$13,SUBSTITUTE(E57,".",""),0),OFFSET(ORÇAMENTO!$AB$15,CRONO!$E56,0))/$R56))</f>
        <v>1</v>
      </c>
      <c r="D56" s="242" t="e">
        <f ca="1">IF(AND($Q56=2,ACOMPANHAMENTO="BM"),D57,D58/$R56)</f>
        <v>#DIV/0!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>
        <f ca="1">IF($E57=0,OFFSET(ORÇAMENTO!O$15,$E56,0),IF($E57&lt;&gt;-1,OFFSET(QCI!$D$13,$E57,0),""))</f>
        <v>10</v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</v>
      </c>
      <c r="R56" s="248">
        <f ca="1">IF($E57=0,OFFSET(ORÇAMENTO!X$15,$E56,0),IF($E57&lt;&gt;-1,OFFSET(QCI!$O$13,$E57,0),""))</f>
        <v>0</v>
      </c>
      <c r="S56" s="249" t="s">
        <v>269</v>
      </c>
      <c r="T56" s="250" t="e">
        <f t="shared" ref="T56:AE56" ca="1" si="17">IF(AND($Q56=2,ACOMPANHAMENTO="BM"),T57,T58/$R56)</f>
        <v>#DIV/0!</v>
      </c>
      <c r="U56" s="242" t="e">
        <f t="shared" ca="1" si="17"/>
        <v>#DIV/0!</v>
      </c>
      <c r="V56" s="242" t="e">
        <f t="shared" ca="1" si="17"/>
        <v>#DIV/0!</v>
      </c>
      <c r="W56" s="242" t="e">
        <f t="shared" ca="1" si="17"/>
        <v>#DIV/0!</v>
      </c>
      <c r="X56" s="242" t="e">
        <f t="shared" ca="1" si="17"/>
        <v>#DIV/0!</v>
      </c>
      <c r="Y56" s="242" t="e">
        <f t="shared" ca="1" si="17"/>
        <v>#DIV/0!</v>
      </c>
      <c r="Z56" s="242" t="e">
        <f t="shared" ca="1" si="17"/>
        <v>#DIV/0!</v>
      </c>
      <c r="AA56" s="242" t="e">
        <f t="shared" ca="1" si="17"/>
        <v>#DIV/0!</v>
      </c>
      <c r="AB56" s="242" t="e">
        <f t="shared" ca="1" si="17"/>
        <v>#DIV/0!</v>
      </c>
      <c r="AC56" s="242" t="e">
        <f t="shared" ca="1" si="17"/>
        <v>#DIV/0!</v>
      </c>
      <c r="AD56" s="242" t="e">
        <f t="shared" ca="1" si="17"/>
        <v>#DIV/0!</v>
      </c>
      <c r="AE56" s="251" t="e">
        <f t="shared" ca="1" si="17"/>
        <v>#DIV/0!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10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</v>
      </c>
      <c r="C59" s="239">
        <f ca="1">IF($Q59&lt;&gt;2,0,IF($R59=0,1,IF(E60&gt;0,OFFSET(QCI!$N$13,SUBSTITUTE(E60,".",""),0),OFFSET(ORÇAMENTO!$AB$15,CRONO!$E59,0))/$R59))</f>
        <v>0</v>
      </c>
      <c r="D59" s="242" t="e">
        <f ca="1">IF(AND($Q59=2,ACOMPANHAMENTO="BM"),D60,D61/$R59)</f>
        <v>#VALUE!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 t="str">
        <f ca="1">IF($E60=0,OFFSET(ORÇAMENTO!O$15,$E59,0),IF($E60&lt;&gt;-1,OFFSET(QCI!$D$13,$E60,0),""))</f>
        <v/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0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0</v>
      </c>
      <c r="R59" s="248" t="str">
        <f ca="1">IF($E60=0,OFFSET(ORÇAMENTO!X$15,$E59,0),IF($E60&lt;&gt;-1,OFFSET(QCI!$O$13,$E60,0),""))</f>
        <v/>
      </c>
      <c r="S59" s="249" t="s">
        <v>269</v>
      </c>
      <c r="T59" s="250" t="e">
        <f t="shared" ref="T59:AE59" ca="1" si="18">IF(AND($Q59=2,ACOMPANHAMENTO="BM"),T60,T61/$R59)</f>
        <v>#VALUE!</v>
      </c>
      <c r="U59" s="242" t="e">
        <f t="shared" ca="1" si="18"/>
        <v>#VALUE!</v>
      </c>
      <c r="V59" s="242" t="e">
        <f t="shared" ca="1" si="18"/>
        <v>#VALUE!</v>
      </c>
      <c r="W59" s="242" t="e">
        <f t="shared" ca="1" si="18"/>
        <v>#VALUE!</v>
      </c>
      <c r="X59" s="242" t="e">
        <f t="shared" ca="1" si="18"/>
        <v>#VALUE!</v>
      </c>
      <c r="Y59" s="242" t="e">
        <f t="shared" ca="1" si="18"/>
        <v>#VALUE!</v>
      </c>
      <c r="Z59" s="242" t="e">
        <f t="shared" ca="1" si="18"/>
        <v>#VALUE!</v>
      </c>
      <c r="AA59" s="242" t="e">
        <f t="shared" ca="1" si="18"/>
        <v>#VALUE!</v>
      </c>
      <c r="AB59" s="242" t="e">
        <f t="shared" ca="1" si="18"/>
        <v>#VALUE!</v>
      </c>
      <c r="AC59" s="242" t="e">
        <f t="shared" ca="1" si="18"/>
        <v>#VALUE!</v>
      </c>
      <c r="AD59" s="242" t="e">
        <f t="shared" ca="1" si="18"/>
        <v>#VALUE!</v>
      </c>
      <c r="AE59" s="251" t="e">
        <f t="shared" ca="1" si="18"/>
        <v>#VALUE!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-1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0.42675165446413493</v>
      </c>
      <c r="F165" s="239" t="s">
        <v>245</v>
      </c>
      <c r="H165" s="723" t="str">
        <f ca="1">"Total:    R$ "&amp;TEXT(Q165,"#.##0,00")</f>
        <v>Total:    R$ 462.522,87</v>
      </c>
      <c r="I165" s="723"/>
      <c r="J165" s="723"/>
      <c r="K165" s="291"/>
      <c r="Q165" s="292">
        <f ca="1">SUMIF(L12:L164,1,R12:R164)</f>
        <v>462522.87</v>
      </c>
      <c r="R165" s="293"/>
      <c r="S165" s="294" t="s">
        <v>281</v>
      </c>
      <c r="T165" s="295">
        <f t="shared" ref="T165:AE165" ca="1" si="53">ROUND(T169,2)/$Q$165</f>
        <v>0.42675165446413493</v>
      </c>
      <c r="U165" s="296">
        <f t="shared" ca="1" si="53"/>
        <v>0.57324834553586501</v>
      </c>
      <c r="V165" s="296">
        <f t="shared" ca="1" si="53"/>
        <v>0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3"/>
      <c r="I166" s="723"/>
      <c r="J166" s="723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197382.39999999999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197382.39999999999</v>
      </c>
      <c r="U167" s="309">
        <f t="shared" ref="U167:AE167" ca="1" si="55">ROUND(U172,2)-ROUND(T172,2)</f>
        <v>265140.46999999997</v>
      </c>
      <c r="V167" s="309">
        <f t="shared" ca="1" si="55"/>
        <v>0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197382.39999999999</v>
      </c>
      <c r="F169" s="239" t="s">
        <v>245</v>
      </c>
      <c r="K169" s="317"/>
      <c r="R169" s="318"/>
      <c r="S169" s="319" t="s">
        <v>285</v>
      </c>
      <c r="T169" s="320">
        <f ca="1">ROUND(T174,2)</f>
        <v>197382.39999999999</v>
      </c>
      <c r="U169" s="321">
        <f t="shared" ref="U169:AE169" ca="1" si="57">ROUND(U174,2)-ROUND(T174,2)</f>
        <v>265140.46999999997</v>
      </c>
      <c r="V169" s="321">
        <f t="shared" ca="1" si="57"/>
        <v>0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0.42675165675266852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0.42675165446413493</v>
      </c>
      <c r="U170" s="296">
        <f t="shared" ref="U170:AE170" ca="1" si="58">ROUND(U174,2)/$Q$165</f>
        <v>1</v>
      </c>
      <c r="V170" s="296">
        <f t="shared" ca="1" si="58"/>
        <v>1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197382.40105849912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197382.40105849912</v>
      </c>
      <c r="U172" s="309">
        <f t="array" aca="1" ref="U172" ca="1">T172+SUM((OFFSET($B$13,1,0):OFFSET($B$164,-3,0))*IF(ISNUMBER(OFFSET(U$11,5,0):OFFSET(U$164,-1,0)),OFFSET(U$11,5,0):OFFSET(U$164,-1,0),0))</f>
        <v>462522.86999999994</v>
      </c>
      <c r="V172" s="309">
        <f t="array" aca="1" ref="V172" ca="1">U172+SUM((OFFSET($B$13,1,0):OFFSET($B$164,-3,0))*IF(ISNUMBER(OFFSET(V$11,5,0):OFFSET(V$164,-1,0)),OFFSET(V$11,5,0):OFFSET(V$164,-1,0),0))</f>
        <v>462522.86999999994</v>
      </c>
      <c r="W172" s="309">
        <f t="array" aca="1" ref="W172" ca="1">V172+SUM((OFFSET($B$13,1,0):OFFSET($B$164,-3,0))*IF(ISNUMBER(OFFSET(W$11,5,0):OFFSET(W$164,-1,0)),OFFSET(W$11,5,0):OFFSET(W$164,-1,0),0))</f>
        <v>462522.86999999994</v>
      </c>
      <c r="X172" s="309">
        <f t="array" aca="1" ref="X172" ca="1">W172+SUM((OFFSET($B$13,1,0):OFFSET($B$164,-3,0))*IF(ISNUMBER(OFFSET(X$11,5,0):OFFSET(X$164,-1,0)),OFFSET(X$11,5,0):OFFSET(X$164,-1,0),0))</f>
        <v>462522.86999999994</v>
      </c>
      <c r="Y172" s="309">
        <f t="array" aca="1" ref="Y172" ca="1">X172+SUM((OFFSET($B$13,1,0):OFFSET($B$164,-3,0))*IF(ISNUMBER(OFFSET(Y$11,5,0):OFFSET(Y$164,-1,0)),OFFSET(Y$11,5,0):OFFSET(Y$164,-1,0),0))</f>
        <v>462522.86999999994</v>
      </c>
      <c r="Z172" s="309">
        <f t="array" aca="1" ref="Z172" ca="1">Y172+SUM((OFFSET($B$13,1,0):OFFSET($B$164,-3,0))*IF(ISNUMBER(OFFSET(Z$11,5,0):OFFSET(Z$164,-1,0)),OFFSET(Z$11,5,0):OFFSET(Z$164,-1,0),0))</f>
        <v>462522.86999999994</v>
      </c>
      <c r="AA172" s="309">
        <f t="array" aca="1" ref="AA172" ca="1">Z172+SUM((OFFSET($B$13,1,0):OFFSET($B$164,-3,0))*IF(ISNUMBER(OFFSET(AA$11,5,0):OFFSET(AA$164,-1,0)),OFFSET(AA$11,5,0):OFFSET(AA$164,-1,0),0))</f>
        <v>462522.86999999994</v>
      </c>
      <c r="AB172" s="309">
        <f t="array" aca="1" ref="AB172" ca="1">AA172+SUM((OFFSET($B$13,1,0):OFFSET($B$164,-3,0))*IF(ISNUMBER(OFFSET(AB$11,5,0):OFFSET(AB$164,-1,0)),OFFSET(AB$11,5,0):OFFSET(AB$164,-1,0),0))</f>
        <v>462522.86999999994</v>
      </c>
      <c r="AC172" s="309">
        <f t="array" aca="1" ref="AC172" ca="1">AB172+SUM((OFFSET($B$13,1,0):OFFSET($B$164,-3,0))*IF(ISNUMBER(OFFSET(AC$11,5,0):OFFSET(AC$164,-1,0)),OFFSET(AC$11,5,0):OFFSET(AC$164,-1,0),0))</f>
        <v>462522.86999999994</v>
      </c>
      <c r="AD172" s="309">
        <f t="array" aca="1" ref="AD172" ca="1">AC172+SUM((OFFSET($B$13,1,0):OFFSET($B$164,-3,0))*IF(ISNUMBER(OFFSET(AD$11,5,0):OFFSET(AD$164,-1,0)),OFFSET(AD$11,5,0):OFFSET(AD$164,-1,0),0))</f>
        <v>462522.86999999994</v>
      </c>
      <c r="AE172" s="310">
        <f t="array" aca="1" ref="AE172" ca="1">AD172+SUM((OFFSET($B$13,1,0):OFFSET($B$164,-3,0))*IF(ISNUMBER(OFFSET(AE$11,5,0):OFFSET(AE$164,-1,0)),OFFSET(AE$11,5,0):OFFSET(AE$164,-1,0),0))</f>
        <v>462522.86999999994</v>
      </c>
      <c r="AF172" s="240">
        <f ca="1">AE172+SUMPRODUCT((OFFSET($C$13,1,0):OFFSET($C$164,-3,0))*IF(ISNUMBER(OFFSET(AF$11,5,0):OFFSET(AF$164,-1,0)),OFFSET(AF$11,5,0):OFFSET(AF$164,-1,0),0))</f>
        <v>462522.86999999994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197382.40105849912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197382.40105849912</v>
      </c>
      <c r="U174" s="321">
        <f t="shared" ref="U174:AF174" ca="1" si="60">T174+SUMIF($R$12:$R$164,"1$",U12:U164)</f>
        <v>462522.86999999994</v>
      </c>
      <c r="V174" s="321">
        <f t="shared" ca="1" si="60"/>
        <v>462522.86999999994</v>
      </c>
      <c r="W174" s="321">
        <f t="shared" ca="1" si="60"/>
        <v>462522.86999999994</v>
      </c>
      <c r="X174" s="321">
        <f t="shared" ca="1" si="60"/>
        <v>462522.86999999994</v>
      </c>
      <c r="Y174" s="321">
        <f t="shared" ca="1" si="60"/>
        <v>462522.86999999994</v>
      </c>
      <c r="Z174" s="321">
        <f t="shared" ca="1" si="60"/>
        <v>462522.86999999994</v>
      </c>
      <c r="AA174" s="321">
        <f t="shared" ca="1" si="60"/>
        <v>462522.86999999994</v>
      </c>
      <c r="AB174" s="321">
        <f t="shared" ca="1" si="60"/>
        <v>462522.86999999994</v>
      </c>
      <c r="AC174" s="321">
        <f t="shared" ca="1" si="60"/>
        <v>462522.86999999994</v>
      </c>
      <c r="AD174" s="321">
        <f t="shared" ca="1" si="60"/>
        <v>462522.86999999994</v>
      </c>
      <c r="AE174" s="322">
        <f t="shared" ca="1" si="60"/>
        <v>462522.86999999994</v>
      </c>
      <c r="AF174" s="240">
        <f t="shared" ca="1" si="60"/>
        <v>462522.86999999994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5" t="str">
        <f>Import.Município</f>
        <v>CÉU AZUL</v>
      </c>
      <c r="I176" s="705"/>
      <c r="J176" s="705"/>
      <c r="K176" s="705"/>
      <c r="L176" s="705"/>
      <c r="M176" s="705"/>
      <c r="N176" s="705"/>
      <c r="O176" s="705"/>
      <c r="P176" s="705"/>
      <c r="Q176" s="705"/>
      <c r="R176" s="705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GUSTAVO FRANCESCHINI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5">
        <f ca="1">DADOS!$F$25</f>
        <v>44134</v>
      </c>
      <c r="I179" s="715"/>
      <c r="J179" s="715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126178/D - PR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>ART/RRT: 1720204868649</v>
      </c>
      <c r="AB180" s="97"/>
      <c r="AC180" s="97"/>
      <c r="AD180" s="239"/>
      <c r="AE180" s="239"/>
    </row>
  </sheetData>
  <sheetProtection algorithmName="SHA-512" hashValue="Goqo0P19RBo1nrCgGlzc72K6TBq3T08HAGWzBeCjLVqE/DHl2hkSuCNR59sj16F7MwmsKm0sv2Cg6FA1iUXcOg==" saltValue="vTfk44UOx+T/Apuesurz4Q==" spinCount="100000"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40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G20" sqref="G20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/>
      </c>
    </row>
    <row r="11" spans="1:31" ht="65.25" customHeight="1" x14ac:dyDescent="0.2">
      <c r="A11" s="331"/>
      <c r="C11" s="332"/>
      <c r="E11" s="333" t="str">
        <f ca="1">IF(E$12&gt;CÁLCULO.NúmeroDeFrentes,"",OFFSET(CÁLCULO!$P$12,0,E$12))</f>
        <v>TRAVESSA DOS SÁBIAS (ENTRE A RUA BELO HORIZONTE X RUA SÃO SALVADOR)</v>
      </c>
      <c r="G11" s="333" t="str">
        <f ca="1">IF(G$12&gt;CÁLCULO.NúmeroDeFrentes,"",OFFSET(CÁLCULO!$P$12,0,G$12))</f>
        <v>TRAVESSA DOS SÁBIAS (ENTRE A RUA BELO HORIZONTE X RUA SÃO SALVADOR)</v>
      </c>
      <c r="H11" s="333" t="str">
        <f ca="1">IF(H$12&gt;CÁLCULO.NúmeroDeFrentes,"",OFFSET(CÁLCULO!$P$12,0,H$12))</f>
        <v>AVENIDA IGUAÇU (ENTRE A RUA NITERÓI X RUA BELO HORIZONTE)</v>
      </c>
      <c r="I11" s="333" t="str">
        <f ca="1">IF(I$12&gt;CÁLCULO.NúmeroDeFrentes,"",OFFSET(CÁLCULO!$P$12,0,I$12))</f>
        <v>RUA BELO HORIZONTE (ENTRE A TRAVESSA DOS SÁBIAS X RUA SÃO LUIZ)</v>
      </c>
      <c r="J11" s="333" t="str">
        <f ca="1">IF(J$12&gt;CÁLCULO.NúmeroDeFrentes,"",OFFSET(CÁLCULO!$P$12,0,J$12))</f>
        <v>RUA DOS EUCALIPTOS (ENTRE A RUA NITERÓI X RUA BELO HORIZONTE)</v>
      </c>
      <c r="K11" s="333" t="str">
        <f ca="1">IF(K$12&gt;CÁLCULO.NúmeroDeFrentes,"",OFFSET(CÁLCULO!$P$12,0,K$12))</f>
        <v>RUA SÃO LUIZ (RUA NITERÓI X RUA SÃO SALVADOR)</v>
      </c>
      <c r="L11" s="333" t="str">
        <f ca="1">IF(L$12&gt;CÁLCULO.NúmeroDeFrentes,"",OFFSET(CÁLCULO!$P$12,0,L$12))</f>
        <v>RUA SÃO SALVADOR (ENTRE A RUA JOÃO PESSOA ATÉ O FINAL)</v>
      </c>
      <c r="M11" s="333" t="str">
        <f ca="1">IF(M$12&gt;CÁLCULO.NúmeroDeFrentes,"",OFFSET(CÁLCULO!$P$12,0,M$12))</f>
        <v>AVENIDA MARECHAL CÂNDIDO DO RONDON (ENTRE A RUA NITERÓI X RUA SÃO SALVADOR)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SERVIÇOS PRELIMINARES</v>
      </c>
      <c r="E16" s="329"/>
      <c r="G16" s="329">
        <v>1</v>
      </c>
      <c r="H16" s="329">
        <v>1</v>
      </c>
      <c r="I16" s="329">
        <v>1</v>
      </c>
      <c r="J16" s="329">
        <v>1</v>
      </c>
      <c r="K16" s="329">
        <v>2</v>
      </c>
      <c r="L16" s="329">
        <v>2</v>
      </c>
      <c r="M16" s="329">
        <v>2</v>
      </c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REPERFILAMENTO ASFÁLTICO</v>
      </c>
      <c r="E17" s="329"/>
      <c r="G17" s="329">
        <v>1</v>
      </c>
      <c r="H17" s="329">
        <v>1</v>
      </c>
      <c r="I17" s="329">
        <v>1</v>
      </c>
      <c r="J17" s="329">
        <v>1</v>
      </c>
      <c r="K17" s="329">
        <v>2</v>
      </c>
      <c r="L17" s="329">
        <v>2</v>
      </c>
      <c r="M17" s="329">
        <v>2</v>
      </c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RECAPEAMENTO ASFÁLTICO</v>
      </c>
      <c r="E18" s="329"/>
      <c r="G18" s="329">
        <v>1</v>
      </c>
      <c r="H18" s="329">
        <v>1</v>
      </c>
      <c r="I18" s="329">
        <v>1</v>
      </c>
      <c r="J18" s="329">
        <v>1</v>
      </c>
      <c r="K18" s="329">
        <v>2</v>
      </c>
      <c r="L18" s="329">
        <v>2</v>
      </c>
      <c r="M18" s="329">
        <v>2</v>
      </c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SINALIZAÇÃO VIÁRIA</v>
      </c>
      <c r="E19" s="329"/>
      <c r="G19" s="329">
        <v>2</v>
      </c>
      <c r="H19" s="329">
        <v>2</v>
      </c>
      <c r="I19" s="329">
        <v>2</v>
      </c>
      <c r="J19" s="329">
        <v>2</v>
      </c>
      <c r="K19" s="329">
        <v>2</v>
      </c>
      <c r="L19" s="329">
        <v>2</v>
      </c>
      <c r="M19" s="329">
        <v>2</v>
      </c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ENSAIOS TECNOLÓGICOS</v>
      </c>
      <c r="E20" s="329"/>
      <c r="G20" s="329">
        <v>1</v>
      </c>
      <c r="H20" s="329">
        <v>1</v>
      </c>
      <c r="I20" s="329">
        <v>1</v>
      </c>
      <c r="J20" s="329">
        <v>1</v>
      </c>
      <c r="K20" s="329">
        <v>2</v>
      </c>
      <c r="L20" s="329">
        <v>2</v>
      </c>
      <c r="M20" s="329">
        <v>2</v>
      </c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algorithmName="SHA-512" hashValue="Ie3JhQralCDGoEReIfBP0ofxf644zUr3BJBGJzWXlawjjyGS6dycZuBXPxVU9C3IyGEnMLc7U9ORkQUqzKt7sQ==" saltValue="Op+0JyOeLQZzbtMKYcg5xA==" spinCount="100000" sheet="1" autoFilter="0"/>
  <mergeCells count="2">
    <mergeCell ref="B12:B13"/>
    <mergeCell ref="C12:C13"/>
  </mergeCells>
  <phoneticPr fontId="40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2" t="e">
        <f ca="1">IF(AUTOEVENTO="Manual",IF($B1&lt;&gt;1,OFFSET(EVENTOS!$D$14,$B1,0),0),IF(B1&lt;=MAX(CÁLCULO!$M$15:$M$266),VLOOKUP($B1,CÁLCULO!$M$15:$N$266,2,FALSE),0))</f>
        <v>#REF!</v>
      </c>
      <c r="D1" s="742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7" t="s">
        <v>139</v>
      </c>
      <c r="AE3" s="687"/>
      <c r="AF3" s="687"/>
    </row>
    <row r="4" spans="1:33" ht="15.75" x14ac:dyDescent="0.2">
      <c r="B4" s="103"/>
      <c r="C4" s="103"/>
      <c r="H4" s="107" t="str">
        <f>import.recurso</f>
        <v>(SELECIONAR)</v>
      </c>
      <c r="AD4" s="688" t="s">
        <v>142</v>
      </c>
      <c r="AE4" s="688"/>
      <c r="AF4" s="688"/>
    </row>
    <row r="6" spans="1:33" x14ac:dyDescent="0.2">
      <c r="B6" s="268" t="s">
        <v>440</v>
      </c>
      <c r="C6" s="344"/>
      <c r="D6" s="270" t="s">
        <v>441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5" t="str">
        <f>IF(TIPOORCAMENTO="Licitado","Nº CTEF","")</f>
        <v/>
      </c>
      <c r="AF6" s="745"/>
    </row>
    <row r="7" spans="1:33" x14ac:dyDescent="0.2">
      <c r="B7" s="720">
        <f>Import.CR</f>
        <v>0</v>
      </c>
      <c r="C7" s="720"/>
      <c r="D7" s="274">
        <f>Import.SICONV</f>
        <v>0</v>
      </c>
      <c r="E7" s="55"/>
      <c r="H7" s="719" t="str">
        <f>Import.Proponente</f>
        <v>MUNICÍPIO DE CÉU AZUL</v>
      </c>
      <c r="I7" s="719"/>
      <c r="J7" s="719"/>
      <c r="K7" s="719"/>
      <c r="L7" s="719"/>
      <c r="M7" s="719"/>
      <c r="N7" s="719"/>
      <c r="O7" s="720" t="str">
        <f>Import.Apelido</f>
        <v>RECAPE ASFÁLTICO NO MUNICÍPIO DE CÉU AZUL</v>
      </c>
      <c r="P7" s="720"/>
      <c r="Q7" s="720"/>
      <c r="R7" s="720"/>
      <c r="S7" s="720"/>
      <c r="T7" s="720"/>
      <c r="U7" s="720"/>
      <c r="V7" s="720" t="str">
        <f>IF(TIPOORCAMENTO="Licitado",Import.empresa,Import.DescLote)</f>
        <v>RECAPE ASFÁLTICO EM DIVERSAS RUAS DO MUNICÍPIO</v>
      </c>
      <c r="W7" s="720"/>
      <c r="X7" s="720"/>
      <c r="Y7" s="720"/>
      <c r="Z7" s="720"/>
      <c r="AA7" s="720"/>
      <c r="AB7" s="720"/>
      <c r="AC7" s="720"/>
      <c r="AD7" s="720"/>
      <c r="AE7" s="749" t="str">
        <f>IF(TIPOORCAMENTO="Licitado",Import.CTEF,"")</f>
        <v/>
      </c>
      <c r="AF7" s="749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7">
        <v>1</v>
      </c>
      <c r="K9" s="747"/>
      <c r="M9" s="348" t="s">
        <v>282</v>
      </c>
      <c r="N9" s="748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8"/>
      <c r="P9" s="748"/>
      <c r="Q9" s="748"/>
      <c r="R9" s="748"/>
      <c r="S9" s="748"/>
      <c r="T9" s="748"/>
      <c r="U9" s="349"/>
      <c r="X9" s="348" t="s">
        <v>294</v>
      </c>
      <c r="Y9" s="750">
        <f ca="1">OFFSET($I$69,1+8*(ROUNDUP(($J$9-0)/((COLUMN($AG$14)-COLUMN($G$14)-1)/25*12),0)-1),ROUNDDOWN((($J$9-0)-OFFSET($I$69,8*(ROUNDUP(($J$9-0)/((COLUMN($AG$14)-COLUMN($G$14)-1)/25*12),0)-1),0))*(2+1/12),0))</f>
        <v>0</v>
      </c>
      <c r="Z9" s="750"/>
      <c r="AD9" s="348" t="s">
        <v>295</v>
      </c>
      <c r="AE9" s="750">
        <f ca="1">OFFSET($I$69,3+8*(ROUNDUP(($J$9-0)/((COLUMN($AG$14)-COLUMN($G$14)-1)/25*12),0)-1),ROUNDDOWN((($J$9-0)-OFFSET($I$69,8*(ROUNDUP(($J$9-0)/((COLUMN($AG$14)-COLUMN($G$14)-1)/25*12),0)-1),0))*(2+1/12),0))</f>
        <v>0</v>
      </c>
      <c r="AF9" s="750"/>
    </row>
    <row r="11" spans="1:33" ht="65.25" customHeight="1" x14ac:dyDescent="0.2">
      <c r="A11" s="331" t="s">
        <v>289</v>
      </c>
      <c r="C11" s="746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6"/>
      <c r="F11" s="333" t="str">
        <f ca="1">IF(F$12&gt;CÁLCULO.NúmeroDeFrentes,"",OFFSET(CÁLCULO!$P$12,0,F$12))</f>
        <v>TRAVESSA DOS SÁBIAS (ENTRE A RUA BELO HORIZONTE X RUA SÃO SALVADOR)</v>
      </c>
      <c r="H11" s="333" t="str">
        <f ca="1">IF(H$12&gt;CÁLCULO.NúmeroDeFrentes,"",OFFSET(CÁLCULO!$P$12,0,H$12))</f>
        <v>TRAVESSA DOS SÁBIAS (ENTRE A RUA BELO HORIZONTE X RUA SÃO SALVADOR)</v>
      </c>
      <c r="I11" s="333" t="str">
        <f ca="1">IF(I$12&gt;CÁLCULO.NúmeroDeFrentes,"",OFFSET(CÁLCULO!$P$12,0,I$12))</f>
        <v>AVENIDA IGUAÇU (ENTRE A RUA NITERÓI X RUA BELO HORIZONTE)</v>
      </c>
      <c r="J11" s="333" t="str">
        <f ca="1">IF(J$12&gt;CÁLCULO.NúmeroDeFrentes,"",OFFSET(CÁLCULO!$P$12,0,J$12))</f>
        <v>RUA BELO HORIZONTE (ENTRE A TRAVESSA DOS SÁBIAS X RUA SÃO LUIZ)</v>
      </c>
      <c r="K11" s="333" t="str">
        <f ca="1">IF(K$12&gt;CÁLCULO.NúmeroDeFrentes,"",OFFSET(CÁLCULO!$P$12,0,K$12))</f>
        <v>RUA DOS EUCALIPTOS (ENTRE A RUA NITERÓI X RUA BELO HORIZONTE)</v>
      </c>
      <c r="L11" s="333" t="str">
        <f ca="1">IF(L$12&gt;CÁLCULO.NúmeroDeFrentes,"",OFFSET(CÁLCULO!$P$12,0,L$12))</f>
        <v>RUA SÃO LUIZ (RUA NITERÓI X RUA SÃO SALVADOR)</v>
      </c>
      <c r="M11" s="333" t="str">
        <f ca="1">IF(M$12&gt;CÁLCULO.NúmeroDeFrentes,"",OFFSET(CÁLCULO!$P$12,0,M$12))</f>
        <v>RUA SÃO SALVADOR (ENTRE A RUA JOÃO PESSOA ATÉ O FINAL)</v>
      </c>
      <c r="N11" s="333" t="str">
        <f ca="1">IF(N$12&gt;CÁLCULO.NúmeroDeFrentes,"",OFFSET(CÁLCULO!$P$12,0,N$12))</f>
        <v>AVENIDA MARECHAL CÂNDIDO DO RONDON (ENTRE A RUA NITERÓI X RUA SÃO SALVADOR)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4" t="s">
        <v>268</v>
      </c>
      <c r="D15" s="744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2" t="str">
        <f ca="1">IF(AUTOEVENTO="Manual",IF($B16&lt;&gt;1,OFFSET(EVENTOS!$D$14,$B16,0),0),IF(B16&lt;=MAX(CÁLCULO!$M$15:$M$266),VLOOKUP($B16,CÁLCULO!$M$15:$N$266,2,FALSE),0))</f>
        <v>SERVIÇOS PRELIMINARES</v>
      </c>
      <c r="D16" s="742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2" t="str">
        <f ca="1">IF(AUTOEVENTO="Manual",IF($B17&lt;&gt;1,OFFSET(EVENTOS!$D$14,$B17,0),0),IF(B17&lt;=MAX(CÁLCULO!$M$15:$M$266),VLOOKUP($B17,CÁLCULO!$M$15:$N$266,2,FALSE),0))</f>
        <v>REPERFILAMENTO ASFÁLTICO</v>
      </c>
      <c r="D17" s="742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42" t="str">
        <f ca="1">IF(AUTOEVENTO="Manual",IF($B18&lt;&gt;1,OFFSET(EVENTOS!$D$14,$B18,0),0),IF(B18&lt;=MAX(CÁLCULO!$M$15:$M$266),VLOOKUP($B18,CÁLCULO!$M$15:$N$266,2,FALSE),0))</f>
        <v>RECAPEAMENTO ASFÁLTICO</v>
      </c>
      <c r="D18" s="742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42" t="str">
        <f ca="1">IF(AUTOEVENTO="Manual",IF($B19&lt;&gt;1,OFFSET(EVENTOS!$D$14,$B19,0),0),IF(B19&lt;=MAX(CÁLCULO!$M$15:$M$266),VLOOKUP($B19,CÁLCULO!$M$15:$N$266,2,FALSE),0))</f>
        <v>SINALIZAÇÃO VIÁRIA</v>
      </c>
      <c r="D19" s="742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42" t="str">
        <f ca="1">IF(AUTOEVENTO="Manual",IF($B20&lt;&gt;1,OFFSET(EVENTOS!$D$14,$B20,0),0),IF(B20&lt;=MAX(CÁLCULO!$M$15:$M$266),VLOOKUP($B20,CÁLCULO!$M$15:$N$266,2,FALSE),0))</f>
        <v>ENSAIOS TECNOLÓGICOS</v>
      </c>
      <c r="D20" s="742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42">
        <f ca="1">IF(AUTOEVENTO="Manual",IF($B21&lt;&gt;1,OFFSET(EVENTOS!$D$14,$B21,0),0),IF(B21&lt;=MAX(CÁLCULO!$M$15:$M$266),VLOOKUP($B21,CÁLCULO!$M$15:$N$266,2,FALSE),0))</f>
        <v>0</v>
      </c>
      <c r="D21" s="742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42">
        <f ca="1">IF(AUTOEVENTO="Manual",IF($B22&lt;&gt;1,OFFSET(EVENTOS!$D$14,$B22,0),0),IF(B22&lt;=MAX(CÁLCULO!$M$15:$M$266),VLOOKUP($B22,CÁLCULO!$M$15:$N$266,2,FALSE),0))</f>
        <v>0</v>
      </c>
      <c r="D22" s="742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42">
        <f ca="1">IF(AUTOEVENTO="Manual",IF($B23&lt;&gt;1,OFFSET(EVENTOS!$D$14,$B23,0),0),IF(B23&lt;=MAX(CÁLCULO!$M$15:$M$266),VLOOKUP($B23,CÁLCULO!$M$15:$N$266,2,FALSE),0))</f>
        <v>0</v>
      </c>
      <c r="D23" s="742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42">
        <f ca="1">IF(AUTOEVENTO="Manual",IF($B24&lt;&gt;1,OFFSET(EVENTOS!$D$14,$B24,0),0),IF(B24&lt;=MAX(CÁLCULO!$M$15:$M$266),VLOOKUP($B24,CÁLCULO!$M$15:$N$266,2,FALSE),0))</f>
        <v>0</v>
      </c>
      <c r="D24" s="742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2">
        <f ca="1">IF(AUTOEVENTO="Manual",IF($B25&lt;&gt;1,OFFSET(EVENTOS!$D$14,$B25,0),0),IF(B25&lt;=MAX(CÁLCULO!$M$15:$M$266),VLOOKUP($B25,CÁLCULO!$M$15:$N$266,2,FALSE),0))</f>
        <v>0</v>
      </c>
      <c r="D25" s="742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2">
        <f ca="1">IF(AUTOEVENTO="Manual",IF($B26&lt;&gt;1,OFFSET(EVENTOS!$D$14,$B26,0),0),IF(B26&lt;=MAX(CÁLCULO!$M$15:$M$266),VLOOKUP($B26,CÁLCULO!$M$15:$N$266,2,FALSE),0))</f>
        <v>0</v>
      </c>
      <c r="D26" s="742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2">
        <f ca="1">IF(AUTOEVENTO="Manual",IF($B27&lt;&gt;1,OFFSET(EVENTOS!$D$14,$B27,0),0),IF(B27&lt;=MAX(CÁLCULO!$M$15:$M$266),VLOOKUP($B27,CÁLCULO!$M$15:$N$266,2,FALSE),0))</f>
        <v>0</v>
      </c>
      <c r="D27" s="742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2">
        <f ca="1">IF(AUTOEVENTO="Manual",IF($B28&lt;&gt;1,OFFSET(EVENTOS!$D$14,$B28,0),0),IF(B28&lt;=MAX(CÁLCULO!$M$15:$M$266),VLOOKUP($B28,CÁLCULO!$M$15:$N$266,2,FALSE),0))</f>
        <v>0</v>
      </c>
      <c r="D28" s="742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2">
        <f ca="1">IF(AUTOEVENTO="Manual",IF($B29&lt;&gt;1,OFFSET(EVENTOS!$D$14,$B29,0),0),IF(B29&lt;=MAX(CÁLCULO!$M$15:$M$266),VLOOKUP($B29,CÁLCULO!$M$15:$N$266,2,FALSE),0))</f>
        <v>0</v>
      </c>
      <c r="D29" s="742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2">
        <f ca="1">IF(AUTOEVENTO="Manual",IF($B30&lt;&gt;1,OFFSET(EVENTOS!$D$14,$B30,0),0),IF(B30&lt;=MAX(CÁLCULO!$M$15:$M$266),VLOOKUP($B30,CÁLCULO!$M$15:$N$266,2,FALSE),0))</f>
        <v>0</v>
      </c>
      <c r="D30" s="742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2">
        <f ca="1">IF(AUTOEVENTO="Manual",IF($B31&lt;&gt;1,OFFSET(EVENTOS!$D$14,$B31,0),0),IF(B31&lt;=MAX(CÁLCULO!$M$15:$M$266),VLOOKUP($B31,CÁLCULO!$M$15:$N$266,2,FALSE),0))</f>
        <v>0</v>
      </c>
      <c r="D31" s="742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2">
        <f ca="1">IF(AUTOEVENTO="Manual",IF($B32&lt;&gt;1,OFFSET(EVENTOS!$D$14,$B32,0),0),IF(B32&lt;=MAX(CÁLCULO!$M$15:$M$266),VLOOKUP($B32,CÁLCULO!$M$15:$N$266,2,FALSE),0))</f>
        <v>0</v>
      </c>
      <c r="D32" s="742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2">
        <f ca="1">IF(AUTOEVENTO="Manual",IF($B33&lt;&gt;1,OFFSET(EVENTOS!$D$14,$B33,0),0),IF(B33&lt;=MAX(CÁLCULO!$M$15:$M$266),VLOOKUP($B33,CÁLCULO!$M$15:$N$266,2,FALSE),0))</f>
        <v>0</v>
      </c>
      <c r="D33" s="742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2">
        <f ca="1">IF(AUTOEVENTO="Manual",IF($B34&lt;&gt;1,OFFSET(EVENTOS!$D$14,$B34,0),0),IF(B34&lt;=MAX(CÁLCULO!$M$15:$M$266),VLOOKUP($B34,CÁLCULO!$M$15:$N$266,2,FALSE),0))</f>
        <v>0</v>
      </c>
      <c r="D34" s="742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2">
        <f ca="1">IF(AUTOEVENTO="Manual",IF($B35&lt;&gt;1,OFFSET(EVENTOS!$D$14,$B35,0),0),IF(B35&lt;=MAX(CÁLCULO!$M$15:$M$266),VLOOKUP($B35,CÁLCULO!$M$15:$N$266,2,FALSE),0))</f>
        <v>0</v>
      </c>
      <c r="D35" s="742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2">
        <f ca="1">IF(AUTOEVENTO="Manual",IF($B36&lt;&gt;1,OFFSET(EVENTOS!$D$14,$B36,0),0),IF(B36&lt;=MAX(CÁLCULO!$M$15:$M$266),VLOOKUP($B36,CÁLCULO!$M$15:$N$266,2,FALSE),0))</f>
        <v>0</v>
      </c>
      <c r="D36" s="742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2">
        <f ca="1">IF(AUTOEVENTO="Manual",IF($B37&lt;&gt;1,OFFSET(EVENTOS!$D$14,$B37,0),0),IF(B37&lt;=MAX(CÁLCULO!$M$15:$M$266),VLOOKUP($B37,CÁLCULO!$M$15:$N$266,2,FALSE),0))</f>
        <v>0</v>
      </c>
      <c r="D37" s="742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2">
        <f ca="1">IF(AUTOEVENTO="Manual",IF($B38&lt;&gt;1,OFFSET(EVENTOS!$D$14,$B38,0),0),IF(B38&lt;=MAX(CÁLCULO!$M$15:$M$266),VLOOKUP($B38,CÁLCULO!$M$15:$N$266,2,FALSE),0))</f>
        <v>0</v>
      </c>
      <c r="D38" s="742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2">
        <f ca="1">IF(AUTOEVENTO="Manual",IF($B39&lt;&gt;1,OFFSET(EVENTOS!$D$14,$B39,0),0),IF(B39&lt;=MAX(CÁLCULO!$M$15:$M$266),VLOOKUP($B39,CÁLCULO!$M$15:$N$266,2,FALSE),0))</f>
        <v>0</v>
      </c>
      <c r="D39" s="742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2">
        <f ca="1">IF(AUTOEVENTO="Manual",IF($B40&lt;&gt;1,OFFSET(EVENTOS!$D$14,$B40,0),0),IF(B40&lt;=MAX(CÁLCULO!$M$15:$M$266),VLOOKUP($B40,CÁLCULO!$M$15:$N$266,2,FALSE),0))</f>
        <v>0</v>
      </c>
      <c r="D40" s="742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2">
        <f ca="1">IF(AUTOEVENTO="Manual",IF($B41&lt;&gt;1,OFFSET(EVENTOS!$D$14,$B41,0),0),IF(B41&lt;=MAX(CÁLCULO!$M$15:$M$266),VLOOKUP($B41,CÁLCULO!$M$15:$N$266,2,FALSE),0))</f>
        <v>0</v>
      </c>
      <c r="D41" s="742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2">
        <f ca="1">IF(AUTOEVENTO="Manual",IF($B42&lt;&gt;1,OFFSET(EVENTOS!$D$14,$B42,0),0),IF(B42&lt;=MAX(CÁLCULO!$M$15:$M$266),VLOOKUP($B42,CÁLCULO!$M$15:$N$266,2,FALSE),0))</f>
        <v>0</v>
      </c>
      <c r="D42" s="742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2">
        <f ca="1">IF(AUTOEVENTO="Manual",IF($B43&lt;&gt;1,OFFSET(EVENTOS!$D$14,$B43,0),0),IF(B43&lt;=MAX(CÁLCULO!$M$15:$M$266),VLOOKUP($B43,CÁLCULO!$M$15:$N$266,2,FALSE),0))</f>
        <v>0</v>
      </c>
      <c r="D43" s="742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2">
        <f ca="1">IF(AUTOEVENTO="Manual",IF($B44&lt;&gt;1,OFFSET(EVENTOS!$D$14,$B44,0),0),IF(B44&lt;=MAX(CÁLCULO!$M$15:$M$266),VLOOKUP($B44,CÁLCULO!$M$15:$N$266,2,FALSE),0))</f>
        <v>0</v>
      </c>
      <c r="D44" s="742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2">
        <f ca="1">IF(AUTOEVENTO="Manual",IF($B45&lt;&gt;1,OFFSET(EVENTOS!$D$14,$B45,0),0),IF(B45&lt;=MAX(CÁLCULO!$M$15:$M$266),VLOOKUP($B45,CÁLCULO!$M$15:$N$266,2,FALSE),0))</f>
        <v>0</v>
      </c>
      <c r="D45" s="742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2">
        <f ca="1">IF(AUTOEVENTO="Manual",IF($B46&lt;&gt;1,OFFSET(EVENTOS!$D$14,$B46,0),0),IF(B46&lt;=MAX(CÁLCULO!$M$15:$M$266),VLOOKUP($B46,CÁLCULO!$M$15:$N$266,2,FALSE),0))</f>
        <v>0</v>
      </c>
      <c r="D46" s="742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2">
        <f ca="1">IF(AUTOEVENTO="Manual",IF($B47&lt;&gt;1,OFFSET(EVENTOS!$D$14,$B47,0),0),IF(B47&lt;=MAX(CÁLCULO!$M$15:$M$266),VLOOKUP($B47,CÁLCULO!$M$15:$N$266,2,FALSE),0))</f>
        <v>0</v>
      </c>
      <c r="D47" s="742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2">
        <f ca="1">IF(AUTOEVENTO="Manual",IF($B48&lt;&gt;1,OFFSET(EVENTOS!$D$14,$B48,0),0),IF(B48&lt;=MAX(CÁLCULO!$M$15:$M$266),VLOOKUP($B48,CÁLCULO!$M$15:$N$266,2,FALSE),0))</f>
        <v>0</v>
      </c>
      <c r="D48" s="742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2">
        <f ca="1">IF(AUTOEVENTO="Manual",IF($B49&lt;&gt;1,OFFSET(EVENTOS!$D$14,$B49,0),0),IF(B49&lt;=MAX(CÁLCULO!$M$15:$M$266),VLOOKUP($B49,CÁLCULO!$M$15:$N$266,2,FALSE),0))</f>
        <v>0</v>
      </c>
      <c r="D49" s="742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2">
        <f ca="1">IF(AUTOEVENTO="Manual",IF($B50&lt;&gt;1,OFFSET(EVENTOS!$D$14,$B50,0),0),IF(B50&lt;=MAX(CÁLCULO!$M$15:$M$266),VLOOKUP($B50,CÁLCULO!$M$15:$N$266,2,FALSE),0))</f>
        <v>0</v>
      </c>
      <c r="D50" s="742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2">
        <f ca="1">IF(AUTOEVENTO="Manual",IF($B51&lt;&gt;1,OFFSET(EVENTOS!$D$14,$B51,0),0),IF(B51&lt;=MAX(CÁLCULO!$M$15:$M$266),VLOOKUP($B51,CÁLCULO!$M$15:$N$266,2,FALSE),0))</f>
        <v>0</v>
      </c>
      <c r="D51" s="742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2">
        <f ca="1">IF(AUTOEVENTO="Manual",IF($B52&lt;&gt;1,OFFSET(EVENTOS!$D$14,$B52,0),0),IF(B52&lt;=MAX(CÁLCULO!$M$15:$M$266),VLOOKUP($B52,CÁLCULO!$M$15:$N$266,2,FALSE),0))</f>
        <v>0</v>
      </c>
      <c r="D52" s="742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2">
        <f ca="1">IF(AUTOEVENTO="Manual",IF($B53&lt;&gt;1,OFFSET(EVENTOS!$D$14,$B53,0),0),IF(B53&lt;=MAX(CÁLCULO!$M$15:$M$266),VLOOKUP($B53,CÁLCULO!$M$15:$N$266,2,FALSE),0))</f>
        <v>0</v>
      </c>
      <c r="D53" s="742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2">
        <f ca="1">IF(AUTOEVENTO="Manual",IF($B54&lt;&gt;1,OFFSET(EVENTOS!$D$14,$B54,0),0),IF(B54&lt;=MAX(CÁLCULO!$M$15:$M$266),VLOOKUP($B54,CÁLCULO!$M$15:$N$266,2,FALSE),0))</f>
        <v>0</v>
      </c>
      <c r="D54" s="742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2">
        <f ca="1">IF(AUTOEVENTO="Manual",IF($B55&lt;&gt;1,OFFSET(EVENTOS!$D$14,$B55,0),0),IF(B55&lt;=MAX(CÁLCULO!$M$15:$M$266),VLOOKUP($B55,CÁLCULO!$M$15:$N$266,2,FALSE),0))</f>
        <v>0</v>
      </c>
      <c r="D55" s="742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2">
        <f ca="1">IF(AUTOEVENTO="Manual",IF($B56&lt;&gt;1,OFFSET(EVENTOS!$D$14,$B56,0),0),IF(B56&lt;=MAX(CÁLCULO!$M$15:$M$266),VLOOKUP($B56,CÁLCULO!$M$15:$N$266,2,FALSE),0))</f>
        <v>0</v>
      </c>
      <c r="D56" s="742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2">
        <f ca="1">IF(AUTOEVENTO="Manual",IF($B57&lt;&gt;1,OFFSET(EVENTOS!$D$14,$B57,0),0),IF(B57&lt;=MAX(CÁLCULO!$M$15:$M$266),VLOOKUP($B57,CÁLCULO!$M$15:$N$266,2,FALSE),0))</f>
        <v>0</v>
      </c>
      <c r="D57" s="742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2">
        <f ca="1">IF(AUTOEVENTO="Manual",IF($B58&lt;&gt;1,OFFSET(EVENTOS!$D$14,$B58,0),0),IF(B58&lt;=MAX(CÁLCULO!$M$15:$M$266),VLOOKUP($B58,CÁLCULO!$M$15:$N$266,2,FALSE),0))</f>
        <v>0</v>
      </c>
      <c r="D58" s="742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2">
        <f ca="1">IF(AUTOEVENTO="Manual",IF($B59&lt;&gt;1,OFFSET(EVENTOS!$D$14,$B59,0),0),IF(B59&lt;=MAX(CÁLCULO!$M$15:$M$266),VLOOKUP($B59,CÁLCULO!$M$15:$N$266,2,FALSE),0))</f>
        <v>0</v>
      </c>
      <c r="D59" s="742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2">
        <f ca="1">IF(AUTOEVENTO="Manual",IF($B60&lt;&gt;1,OFFSET(EVENTOS!$D$14,$B60,0),0),IF(B60&lt;=MAX(CÁLCULO!$M$15:$M$266),VLOOKUP($B60,CÁLCULO!$M$15:$N$266,2,FALSE),0))</f>
        <v>0</v>
      </c>
      <c r="D60" s="742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2">
        <f ca="1">IF(AUTOEVENTO="Manual",IF($B61&lt;&gt;1,OFFSET(EVENTOS!$D$14,$B61,0),0),IF(B61&lt;=MAX(CÁLCULO!$M$15:$M$266),VLOOKUP($B61,CÁLCULO!$M$15:$N$266,2,FALSE),0))</f>
        <v>0</v>
      </c>
      <c r="D61" s="742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2">
        <f ca="1">IF(AUTOEVENTO="Manual",IF($B62&lt;&gt;1,OFFSET(EVENTOS!$D$14,$B62,0),0),IF(B62&lt;=MAX(CÁLCULO!$M$15:$M$266),VLOOKUP($B62,CÁLCULO!$M$15:$N$266,2,FALSE),0))</f>
        <v>0</v>
      </c>
      <c r="D62" s="742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2">
        <f ca="1">IF(AUTOEVENTO="Manual",IF($B63&lt;&gt;1,OFFSET(EVENTOS!$D$14,$B63,0),0),IF(B63&lt;=MAX(CÁLCULO!$M$15:$M$266),VLOOKUP($B63,CÁLCULO!$M$15:$N$266,2,FALSE),0))</f>
        <v>0</v>
      </c>
      <c r="D63" s="742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2">
        <f ca="1">IF(AUTOEVENTO="Manual",IF($B64&lt;&gt;1,OFFSET(EVENTOS!$D$14,$B64,0),0),IF(B64&lt;=MAX(CÁLCULO!$M$15:$M$266),VLOOKUP($B64,CÁLCULO!$M$15:$N$266,2,FALSE),0))</f>
        <v>0</v>
      </c>
      <c r="D64" s="742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3" t="s">
        <v>297</v>
      </c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</row>
    <row r="68" spans="1:32" x14ac:dyDescent="0.2">
      <c r="A68" s="9" t="s">
        <v>245</v>
      </c>
      <c r="H68" s="582"/>
      <c r="I68" s="730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41"/>
    </row>
    <row r="69" spans="1:32" x14ac:dyDescent="0.2">
      <c r="A69" s="9" t="s">
        <v>245</v>
      </c>
      <c r="D69" s="351" t="s">
        <v>298</v>
      </c>
      <c r="I69" s="728">
        <f>IF(PLE.Medicao&lt;=12,1,TRUNC((PLE.Medicao - 2)/11,0) * 11 + 1)</f>
        <v>1</v>
      </c>
      <c r="J69" s="728"/>
      <c r="K69" s="728">
        <f>I69+1</f>
        <v>2</v>
      </c>
      <c r="L69" s="728"/>
      <c r="M69" s="728">
        <f>K69+1</f>
        <v>3</v>
      </c>
      <c r="N69" s="728"/>
      <c r="O69" s="728">
        <f>M69+1</f>
        <v>4</v>
      </c>
      <c r="P69" s="728"/>
      <c r="Q69" s="728">
        <f>O69+1</f>
        <v>5</v>
      </c>
      <c r="R69" s="728"/>
      <c r="S69" s="728">
        <f>Q69+1</f>
        <v>6</v>
      </c>
      <c r="T69" s="728"/>
      <c r="U69" s="728">
        <f>S69+1</f>
        <v>7</v>
      </c>
      <c r="V69" s="728"/>
      <c r="W69" s="728">
        <f>U69+1</f>
        <v>8</v>
      </c>
      <c r="X69" s="728"/>
      <c r="Y69" s="728">
        <f>W69+1</f>
        <v>9</v>
      </c>
      <c r="Z69" s="728"/>
      <c r="AA69" s="728">
        <f>Y69+1</f>
        <v>10</v>
      </c>
      <c r="AB69" s="728"/>
      <c r="AC69" s="728">
        <f>AA69+1</f>
        <v>11</v>
      </c>
      <c r="AD69" s="728"/>
      <c r="AE69" s="728">
        <f>AC69+1</f>
        <v>12</v>
      </c>
      <c r="AF69" s="728"/>
    </row>
    <row r="70" spans="1:32" x14ac:dyDescent="0.2">
      <c r="A70" s="9" t="s">
        <v>245</v>
      </c>
      <c r="D70" s="738" t="s">
        <v>282</v>
      </c>
      <c r="H70" s="352" t="s">
        <v>299</v>
      </c>
      <c r="I70" s="729">
        <f ca="1">ROUND(I71,2)/ORÇAMENTO!$X$15</f>
        <v>0</v>
      </c>
      <c r="J70" s="729"/>
      <c r="K70" s="734">
        <f ca="1">ROUND(K71,2)/ORÇAMENTO!$X$15</f>
        <v>0</v>
      </c>
      <c r="L70" s="734"/>
      <c r="M70" s="735">
        <f ca="1">ROUND(M71,2)/ORÇAMENTO!$X$15</f>
        <v>0</v>
      </c>
      <c r="N70" s="735"/>
      <c r="O70" s="734">
        <f ca="1">ROUND(O71,2)/ORÇAMENTO!$X$15</f>
        <v>0</v>
      </c>
      <c r="P70" s="734"/>
      <c r="Q70" s="735">
        <f ca="1">ROUND(Q71,2)/ORÇAMENTO!$X$15</f>
        <v>0</v>
      </c>
      <c r="R70" s="735"/>
      <c r="S70" s="734">
        <f ca="1">ROUND(S71,2)/ORÇAMENTO!$X$15</f>
        <v>0</v>
      </c>
      <c r="T70" s="734"/>
      <c r="U70" s="735">
        <f ca="1">ROUND(U71,2)/ORÇAMENTO!$X$15</f>
        <v>0</v>
      </c>
      <c r="V70" s="735"/>
      <c r="W70" s="734">
        <f ca="1">ROUND(W71,2)/ORÇAMENTO!$X$15</f>
        <v>0</v>
      </c>
      <c r="X70" s="734"/>
      <c r="Y70" s="735">
        <f ca="1">ROUND(Y71,2)/ORÇAMENTO!$X$15</f>
        <v>0</v>
      </c>
      <c r="Z70" s="735"/>
      <c r="AA70" s="734">
        <f ca="1">ROUND(AA71,2)/ORÇAMENTO!$X$15</f>
        <v>0</v>
      </c>
      <c r="AB70" s="734"/>
      <c r="AC70" s="735">
        <f ca="1">ROUND(AC71,2)/ORÇAMENTO!$X$15</f>
        <v>0</v>
      </c>
      <c r="AD70" s="735"/>
      <c r="AE70" s="734">
        <f ca="1">ROUND(AE71,2)/ORÇAMENTO!$X$15</f>
        <v>0</v>
      </c>
      <c r="AF70" s="734"/>
    </row>
    <row r="71" spans="1:32" x14ac:dyDescent="0.2">
      <c r="A71" s="9" t="s">
        <v>245</v>
      </c>
      <c r="D71" s="738"/>
      <c r="H71" s="353" t="s">
        <v>300</v>
      </c>
      <c r="I71" s="733">
        <f ca="1">IF(I69=1,I73,ROUND(I73,2)-ROUND(SUMIF(CÁLCULO!$AX$15:$BH$266,"&lt;="&amp;PLE!I69-1,CÁLCULO!$AB$15:$AL$266)*(1+CÁLCULO.TotalAdmLocal/(ORÇAMENTO!$X$15-CÁLCULO.TotalAdmLocal)),2))</f>
        <v>0</v>
      </c>
      <c r="J71" s="733"/>
      <c r="K71" s="733">
        <f ca="1">ROUND(K73,2)-ROUND(I73,2)</f>
        <v>0</v>
      </c>
      <c r="L71" s="733"/>
      <c r="M71" s="732">
        <f ca="1">ROUND(M73,2)-ROUND(K73,2)</f>
        <v>0</v>
      </c>
      <c r="N71" s="732"/>
      <c r="O71" s="733">
        <f ca="1">ROUND(O73,2)-ROUND(M73,2)</f>
        <v>0</v>
      </c>
      <c r="P71" s="733"/>
      <c r="Q71" s="732">
        <f ca="1">ROUND(Q73,2)-ROUND(O73,2)</f>
        <v>0</v>
      </c>
      <c r="R71" s="732"/>
      <c r="S71" s="733">
        <f ca="1">ROUND(S73,2)-ROUND(Q73,2)</f>
        <v>0</v>
      </c>
      <c r="T71" s="733"/>
      <c r="U71" s="732">
        <f ca="1">ROUND(U73,2)-ROUND(S73,2)</f>
        <v>0</v>
      </c>
      <c r="V71" s="732"/>
      <c r="W71" s="733">
        <f ca="1">ROUND(W73,2)-ROUND(U73,2)</f>
        <v>0</v>
      </c>
      <c r="X71" s="733"/>
      <c r="Y71" s="732">
        <f ca="1">ROUND(Y73,2)-ROUND(W73,2)</f>
        <v>0</v>
      </c>
      <c r="Z71" s="732"/>
      <c r="AA71" s="733">
        <f ca="1">ROUND(AA73,2)-ROUND(Y73,2)</f>
        <v>0</v>
      </c>
      <c r="AB71" s="733"/>
      <c r="AC71" s="732">
        <f ca="1">ROUND(AC73,2)-ROUND(AA73,2)</f>
        <v>0</v>
      </c>
      <c r="AD71" s="732"/>
      <c r="AE71" s="733">
        <f ca="1">ROUND(AE73,2)-ROUND(AC73,2)</f>
        <v>0</v>
      </c>
      <c r="AF71" s="733"/>
    </row>
    <row r="72" spans="1:32" x14ac:dyDescent="0.2">
      <c r="A72" s="9" t="s">
        <v>245</v>
      </c>
      <c r="D72" s="738" t="s">
        <v>286</v>
      </c>
      <c r="H72" s="352" t="s">
        <v>299</v>
      </c>
      <c r="I72" s="739">
        <f ca="1">ROUND(I73,2)/ORÇAMENTO!$X$15</f>
        <v>0</v>
      </c>
      <c r="J72" s="739"/>
      <c r="K72" s="736">
        <f ca="1">ROUND(K73,2)/ORÇAMENTO!$X$15</f>
        <v>0</v>
      </c>
      <c r="L72" s="736"/>
      <c r="M72" s="737">
        <f ca="1">ROUND(M73,2)/ORÇAMENTO!$X$15</f>
        <v>0</v>
      </c>
      <c r="N72" s="737"/>
      <c r="O72" s="736">
        <f ca="1">ROUND(O73,2)/ORÇAMENTO!$X$15</f>
        <v>0</v>
      </c>
      <c r="P72" s="736"/>
      <c r="Q72" s="737">
        <f ca="1">ROUND(Q73,2)/ORÇAMENTO!$X$15</f>
        <v>0</v>
      </c>
      <c r="R72" s="737"/>
      <c r="S72" s="736">
        <f ca="1">ROUND(S73,2)/ORÇAMENTO!$X$15</f>
        <v>0</v>
      </c>
      <c r="T72" s="736"/>
      <c r="U72" s="737">
        <f ca="1">ROUND(U73,2)/ORÇAMENTO!$X$15</f>
        <v>0</v>
      </c>
      <c r="V72" s="737"/>
      <c r="W72" s="736">
        <f ca="1">ROUND(W73,2)/ORÇAMENTO!$X$15</f>
        <v>0</v>
      </c>
      <c r="X72" s="736"/>
      <c r="Y72" s="737">
        <f ca="1">ROUND(Y73,2)/ORÇAMENTO!$X$15</f>
        <v>0</v>
      </c>
      <c r="Z72" s="737"/>
      <c r="AA72" s="736">
        <f ca="1">ROUND(AA73,2)/ORÇAMENTO!$X$15</f>
        <v>0</v>
      </c>
      <c r="AB72" s="736"/>
      <c r="AC72" s="737">
        <f ca="1">ROUND(AC73,2)/ORÇAMENTO!$X$15</f>
        <v>0</v>
      </c>
      <c r="AD72" s="737"/>
      <c r="AE72" s="736">
        <f ca="1">ROUND(AE73,2)/ORÇAMENTO!$X$15</f>
        <v>0</v>
      </c>
      <c r="AF72" s="736"/>
    </row>
    <row r="73" spans="1:32" x14ac:dyDescent="0.2">
      <c r="A73" s="9" t="s">
        <v>245</v>
      </c>
      <c r="D73" s="738"/>
      <c r="H73" s="353" t="s">
        <v>300</v>
      </c>
      <c r="I73" s="740">
        <f ca="1">SUMIF(CÁLCULO!$AX$15:$BH$266,"&lt;="&amp;PLE!I69,CÁLCULO!$AB$15:$AL$266)*(1+CÁLCULO.TotalAdmLocal/(ORÇAMENTO!$X$15-CÁLCULO.TotalAdmLocal))</f>
        <v>0</v>
      </c>
      <c r="J73" s="740"/>
      <c r="K73" s="733">
        <f ca="1">SUMIF(CÁLCULO!$AX$15:$BH$266,"&lt;="&amp;PLE!K69,CÁLCULO!$AB$15:$AL$266)*(1+CÁLCULO.TotalAdmLocal/(ORÇAMENTO!$X$15-CÁLCULO.TotalAdmLocal))</f>
        <v>0</v>
      </c>
      <c r="L73" s="733"/>
      <c r="M73" s="732">
        <f ca="1">SUMIF(CÁLCULO!$AX$15:$BH$266,"&lt;="&amp;PLE!M69,CÁLCULO!$AB$15:$AL$266)*(1+CÁLCULO.TotalAdmLocal/(ORÇAMENTO!$X$15-CÁLCULO.TotalAdmLocal))</f>
        <v>0</v>
      </c>
      <c r="N73" s="732"/>
      <c r="O73" s="733">
        <f ca="1">SUMIF(CÁLCULO!$AX$15:$BH$266,"&lt;="&amp;PLE!O69,CÁLCULO!$AB$15:$AL$266)*(1+CÁLCULO.TotalAdmLocal/(ORÇAMENTO!$X$15-CÁLCULO.TotalAdmLocal))</f>
        <v>0</v>
      </c>
      <c r="P73" s="733"/>
      <c r="Q73" s="732">
        <f ca="1">SUMIF(CÁLCULO!$AX$15:$BH$266,"&lt;="&amp;PLE!Q69,CÁLCULO!$AB$15:$AL$266)*(1+CÁLCULO.TotalAdmLocal/(ORÇAMENTO!$X$15-CÁLCULO.TotalAdmLocal))</f>
        <v>0</v>
      </c>
      <c r="R73" s="732"/>
      <c r="S73" s="733">
        <f ca="1">SUMIF(CÁLCULO!$AX$15:$BH$266,"&lt;="&amp;PLE!S69,CÁLCULO!$AB$15:$AL$266)*(1+CÁLCULO.TotalAdmLocal/(ORÇAMENTO!$X$15-CÁLCULO.TotalAdmLocal))</f>
        <v>0</v>
      </c>
      <c r="T73" s="733"/>
      <c r="U73" s="732">
        <f ca="1">SUMIF(CÁLCULO!$AX$15:$BH$266,"&lt;="&amp;PLE!U69,CÁLCULO!$AB$15:$AL$266)*(1+CÁLCULO.TotalAdmLocal/(ORÇAMENTO!$X$15-CÁLCULO.TotalAdmLocal))</f>
        <v>0</v>
      </c>
      <c r="V73" s="732"/>
      <c r="W73" s="733">
        <f ca="1">SUMIF(CÁLCULO!$AX$15:$BH$266,"&lt;="&amp;PLE!W69,CÁLCULO!$AB$15:$AL$266)*(1+CÁLCULO.TotalAdmLocal/(ORÇAMENTO!$X$15-CÁLCULO.TotalAdmLocal))</f>
        <v>0</v>
      </c>
      <c r="X73" s="733"/>
      <c r="Y73" s="732">
        <f ca="1">SUMIF(CÁLCULO!$AX$15:$BH$266,"&lt;="&amp;PLE!Y69,CÁLCULO!$AB$15:$AL$266)*(1+CÁLCULO.TotalAdmLocal/(ORÇAMENTO!$X$15-CÁLCULO.TotalAdmLocal))</f>
        <v>0</v>
      </c>
      <c r="Z73" s="732"/>
      <c r="AA73" s="733">
        <f ca="1">SUMIF(CÁLCULO!$AX$15:$BH$266,"&lt;="&amp;PLE!AA69,CÁLCULO!$AB$15:$AL$266)*(1+CÁLCULO.TotalAdmLocal/(ORÇAMENTO!$X$15-CÁLCULO.TotalAdmLocal))</f>
        <v>0</v>
      </c>
      <c r="AB73" s="733"/>
      <c r="AC73" s="732">
        <f ca="1">SUMIF(CÁLCULO!$AX$15:$BH$266,"&lt;="&amp;PLE!AC69,CÁLCULO!$AB$15:$AL$266)*(1+CÁLCULO.TotalAdmLocal/(ORÇAMENTO!$X$15-CÁLCULO.TotalAdmLocal))</f>
        <v>0</v>
      </c>
      <c r="AD73" s="732"/>
      <c r="AE73" s="733">
        <f ca="1">SUMIF(CÁLCULO!$AX$15:$BH$266,"&lt;="&amp;PLE!AE69,CÁLCULO!$AB$15:$AL$266)*(1+CÁLCULO.TotalAdmLocal/(ORÇAMENTO!$X$15-CÁLCULO.TotalAdmLocal))</f>
        <v>0</v>
      </c>
      <c r="AF73" s="73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5" t="str">
        <f>Import.Município</f>
        <v>CÉU AZUL</v>
      </c>
      <c r="C75" s="705"/>
      <c r="D75" s="705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GUSTAVO FRANCESCHINI</v>
      </c>
      <c r="X77" s="105"/>
    </row>
    <row r="78" spans="1:32" x14ac:dyDescent="0.2">
      <c r="A78" s="9" t="s">
        <v>245</v>
      </c>
      <c r="B78" s="700">
        <f ca="1">DADOS!$F$47</f>
        <v>44134</v>
      </c>
      <c r="C78" s="700"/>
      <c r="D78" s="700"/>
      <c r="E78" s="105"/>
      <c r="I78" s="97"/>
      <c r="K78" s="105"/>
      <c r="U78" s="95" t="s">
        <v>126</v>
      </c>
      <c r="W78" s="354" t="str">
        <v>ENGENHEIRO CIVIL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126178/D - PR</v>
      </c>
      <c r="X79" s="105"/>
    </row>
    <row r="80" spans="1:32" x14ac:dyDescent="0.2">
      <c r="U80" s="95" t="s">
        <v>109</v>
      </c>
      <c r="W80" s="355" t="str">
        <v>1720202981529</v>
      </c>
    </row>
  </sheetData>
  <sheetProtection algorithmName="SHA-512" hashValue="NEKGJ7hexFfvNNzlEfabnhbJ0P95eGdzXRr5uBNAeeHTp+X6q7+JG3X1OJGvzeRsympMSM7TlrXwW/Vc7xQ1yA==" saltValue="IAN3tNcMSceIkD50gmCxUg==" spinCount="100000"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40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 filterMode="1">
    <pageSetUpPr fitToPage="1"/>
  </sheetPr>
  <dimension ref="A1:AE37"/>
  <sheetViews>
    <sheetView showGridLines="0" topLeftCell="C1" zoomScale="90" zoomScaleNormal="90" zoomScaleSheetLayoutView="90" workbookViewId="0">
      <pane xSplit="5" ySplit="13" topLeftCell="I14" activePane="bottomRight" state="frozen"/>
      <selection activeCell="C1" sqref="C1"/>
      <selection pane="topRight" activeCell="H1" sqref="H1"/>
      <selection pane="bottomLeft" activeCell="C14" sqref="C14"/>
      <selection pane="bottomRight" activeCell="D13" sqref="D13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3" t="s">
        <v>440</v>
      </c>
      <c r="E3" s="683"/>
      <c r="F3" s="112" t="s">
        <v>441</v>
      </c>
      <c r="G3" s="683" t="s">
        <v>146</v>
      </c>
      <c r="H3" s="683"/>
      <c r="I3" s="683"/>
      <c r="J3" s="756" t="s">
        <v>305</v>
      </c>
      <c r="K3" s="756"/>
      <c r="L3" s="756"/>
      <c r="M3" s="757" t="s">
        <v>306</v>
      </c>
      <c r="N3" s="757"/>
      <c r="O3" s="757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6">
        <f>Import.CR</f>
        <v>0</v>
      </c>
      <c r="E4" s="686"/>
      <c r="F4" s="73">
        <f>Import.SICONV</f>
        <v>0</v>
      </c>
      <c r="G4" s="686" t="str">
        <f>Import.Proponente</f>
        <v>MUNICÍPIO DE CÉU AZUL</v>
      </c>
      <c r="H4" s="686"/>
      <c r="I4" s="686"/>
      <c r="J4" s="758" t="str">
        <f>Import.Município</f>
        <v>CÉU AZUL</v>
      </c>
      <c r="K4" s="758"/>
      <c r="L4" s="758"/>
      <c r="M4" s="757"/>
      <c r="N4" s="757"/>
      <c r="O4" s="757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3" t="s">
        <v>201</v>
      </c>
      <c r="E6" s="683"/>
      <c r="F6" s="683"/>
      <c r="G6" s="683"/>
      <c r="H6" s="683"/>
      <c r="I6" s="683"/>
      <c r="J6" s="683"/>
      <c r="K6" s="683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6" t="s">
        <v>208</v>
      </c>
      <c r="D7" s="686" t="str">
        <f>Import.Apelido</f>
        <v>RECAPE ASFÁLTICO NO MUNICÍPIO DE CÉU AZUL</v>
      </c>
      <c r="E7" s="686"/>
      <c r="F7" s="686"/>
      <c r="G7" s="686"/>
      <c r="H7" s="686"/>
      <c r="I7" s="686"/>
      <c r="J7" s="686"/>
      <c r="K7" s="686"/>
      <c r="L7" s="360" t="str">
        <f>import.recurso</f>
        <v>(SELECIONAR)</v>
      </c>
      <c r="M7" s="361">
        <f>Import.Repasse</f>
        <v>0</v>
      </c>
      <c r="N7" s="361">
        <f>Import.Contrapartida</f>
        <v>462522.87</v>
      </c>
      <c r="O7" s="361">
        <f>M7+N7</f>
        <v>462522.87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6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6"/>
      <c r="E9" s="16"/>
      <c r="G9" s="754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/>
      </c>
      <c r="H9" s="754"/>
      <c r="I9" s="754"/>
      <c r="J9" s="754"/>
      <c r="K9" s="755" t="s">
        <v>312</v>
      </c>
      <c r="L9" s="363" t="str">
        <f>$L$13</f>
        <v>Repasse (R$)</v>
      </c>
      <c r="M9" s="363" t="s">
        <v>237</v>
      </c>
      <c r="AD9" s="752"/>
      <c r="AE9" s="752"/>
    </row>
    <row r="10" spans="1:31" ht="12.75" customHeight="1" x14ac:dyDescent="0.2">
      <c r="A10" s="751" t="s">
        <v>313</v>
      </c>
      <c r="C10" s="676"/>
      <c r="G10" s="754"/>
      <c r="H10" s="754"/>
      <c r="I10" s="754"/>
      <c r="J10" s="754"/>
      <c r="K10" s="755"/>
      <c r="L10" s="364">
        <f ca="1">Import.Repasse-L24</f>
        <v>0</v>
      </c>
      <c r="M10" s="365">
        <f ca="1">Import.Contrapartida-M24</f>
        <v>0</v>
      </c>
      <c r="Z10" s="696" t="s">
        <v>215</v>
      </c>
      <c r="AA10" s="696"/>
      <c r="AB10" s="696"/>
      <c r="AD10" s="752" t="s">
        <v>314</v>
      </c>
      <c r="AE10" s="752"/>
    </row>
    <row r="11" spans="1:31" ht="20.100000000000001" customHeight="1" x14ac:dyDescent="0.2">
      <c r="A11" s="751"/>
      <c r="C11" s="676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ht="38.2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 t="s">
        <v>10</v>
      </c>
      <c r="F14" s="367" t="s">
        <v>47</v>
      </c>
      <c r="G14" s="608" t="str">
        <f ca="1">IF(OR($B14="Manual",$B14="SemiAuto"),QCI.DescManual,IF($B14="Automático",INDEX(ORÇAMENTO!$R$15:$R$266,MATCH($A14,ORÇAMENTO!$E$15:$E$266,0)),""))</f>
        <v>RECAPE ASFÁLTICO EM DIVERSAS RUAS DO MINICÍPIO DE CÉU AZUL</v>
      </c>
      <c r="H14" s="148" t="s">
        <v>458</v>
      </c>
      <c r="I14" s="607">
        <v>7369.47</v>
      </c>
      <c r="J14" s="368" t="str">
        <f ca="1">IF(AND(ISBLANK(E14),ISBLANK(F14)),"",VLOOKUP($F14,OFFSET(DADOS!$A$2,1,MATCH(QCI!$E14,DADOS!$2:$2,0)-1,100,50),2,FALSE))</f>
        <v>m²</v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462522.87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462522.87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462522.87</v>
      </c>
      <c r="X14" s="376">
        <v>0</v>
      </c>
      <c r="Z14" s="377">
        <f t="shared" ref="Z14:Z22" ca="1" si="8">$O14-$AA14-$AB14</f>
        <v>1.1641532182693481E-10</v>
      </c>
      <c r="AA14">
        <f ca="1">IF($B14="Branco",0,IF($B14="Manual",QCI.CPManual,IF($B14="SemiAuto",ROUND(QCI!$AA$3*QCI.InvManual,2),INDEX(ORÇAMENTO!$AA$15:$AA$266,MATCH($A14,ORÇAMENTO!$E$15:$E$266,0)))))</f>
        <v>462522.86999999988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hidden="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/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/>
      </c>
      <c r="L15" s="369">
        <f t="shared" ca="1" si="4"/>
        <v>0</v>
      </c>
      <c r="M15" s="370">
        <f t="shared" ca="1" si="5"/>
        <v>0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0</v>
      </c>
      <c r="P15" s="579"/>
      <c r="R15" s="609"/>
      <c r="T15" s="610"/>
      <c r="U15" s="374"/>
      <c r="V15" s="611" t="s">
        <v>316</v>
      </c>
      <c r="W15" s="375">
        <f t="shared" ca="1" si="7"/>
        <v>0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hidden="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hidden="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hidden="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hidden="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hidden="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hidden="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hidden="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hidden="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3" t="s">
        <v>327</v>
      </c>
      <c r="L24" s="388">
        <f ca="1">SUM(L13:OFFSET(L24,-1,0))</f>
        <v>0</v>
      </c>
      <c r="M24" s="389">
        <f ca="1">SUM(M13:OFFSET(M24,-1,0))</f>
        <v>462522.87</v>
      </c>
      <c r="N24" s="390">
        <f ca="1">SUM(N13:OFFSET(N24,-1,0))</f>
        <v>0</v>
      </c>
      <c r="O24" s="391">
        <f ca="1">SUM(O13:OFFSET(O24,-1,0))</f>
        <v>462522.87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462522.87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3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</row>
    <row r="29" spans="1:31" ht="12.75" customHeight="1" x14ac:dyDescent="0.2"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</row>
    <row r="30" spans="1:31" ht="12.75" customHeight="1" x14ac:dyDescent="0.2"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</row>
    <row r="33" spans="4:12" ht="15" x14ac:dyDescent="0.2">
      <c r="D33" s="705" t="str">
        <f>Import.Município</f>
        <v>CÉU AZUL</v>
      </c>
      <c r="E33" s="705"/>
      <c r="F33" s="705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GERMANO BONAMIGO</v>
      </c>
    </row>
    <row r="36" spans="4:12" x14ac:dyDescent="0.2">
      <c r="D36" s="700">
        <f ca="1">DADOS!$F$25</f>
        <v>44134</v>
      </c>
      <c r="E36" s="700"/>
      <c r="F36" s="700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algorithmName="SHA-512" hashValue="K3qFIpabAdC4wDvEaX50sqV3A5pnVnzRRWKA7DInH8Fknqi9xeenSh9msYpz+c9+WdY3jHFY427FHNjoCFY/dw==" saltValue="RKuR5g4Tx2zg+CgfEoXRLw==" spinCount="100000" sheet="1" objects="1" scenarios="1" autoFilter="0"/>
  <autoFilter ref="C13:C25">
    <filterColumn colId="0">
      <customFilters>
        <customFilter operator="notEqual" val=" "/>
      </customFilters>
    </filterColumn>
  </autoFilter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40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4" t="b">
        <v>0</v>
      </c>
      <c r="B3" s="774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3" t="s">
        <v>146</v>
      </c>
      <c r="E4" s="683"/>
      <c r="F4" s="694" t="s">
        <v>440</v>
      </c>
      <c r="G4" s="694"/>
      <c r="H4" s="694"/>
      <c r="I4" s="184" t="s">
        <v>441</v>
      </c>
      <c r="J4" s="683" t="s">
        <v>201</v>
      </c>
      <c r="K4" s="683"/>
      <c r="L4" s="683"/>
      <c r="M4" s="683"/>
      <c r="N4" s="683"/>
      <c r="O4" s="186" t="s">
        <v>331</v>
      </c>
    </row>
    <row r="5" spans="1:41" ht="12.75" customHeight="1" x14ac:dyDescent="0.2">
      <c r="A5" t="s">
        <v>332</v>
      </c>
      <c r="C5" s="105"/>
      <c r="D5" s="686" t="str">
        <f>Import.Proponente</f>
        <v>MUNICÍPIO DE CÉU AZUL</v>
      </c>
      <c r="E5" s="686"/>
      <c r="F5" s="699">
        <f>Import.CR</f>
        <v>0</v>
      </c>
      <c r="G5" s="699"/>
      <c r="H5" s="699"/>
      <c r="I5" s="416">
        <f>Import.SICONV</f>
        <v>0</v>
      </c>
      <c r="J5" s="686" t="str">
        <f>Import.Apelido</f>
        <v>RECAPE ASFÁLTICO NO MUNICÍPIO DE CÉU AZUL</v>
      </c>
      <c r="K5" s="686"/>
      <c r="L5" s="686"/>
      <c r="M5" s="686"/>
      <c r="N5" s="686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3" t="s">
        <v>336</v>
      </c>
      <c r="G7" s="683"/>
      <c r="H7" s="683"/>
      <c r="I7" s="683" t="str">
        <f>IF(TIPOORCAMENTO="Licitado","REGIME DE EXECUÇÃO","MUNICÍPIO / UF")</f>
        <v>MUNICÍPIO / UF</v>
      </c>
      <c r="J7" s="683"/>
      <c r="K7" s="683"/>
      <c r="L7" s="683"/>
      <c r="M7" s="683" t="s">
        <v>337</v>
      </c>
      <c r="N7" s="683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6" t="s">
        <v>208</v>
      </c>
      <c r="D8" s="420">
        <f>Import.CTEF</f>
        <v>0</v>
      </c>
      <c r="E8" s="73">
        <f>Import.empresa</f>
        <v>0</v>
      </c>
      <c r="F8" s="686">
        <f>Import.CNPJ</f>
        <v>0</v>
      </c>
      <c r="G8" s="686"/>
      <c r="H8" s="686"/>
      <c r="I8" s="686" t="str">
        <f>IF(TIPOORCAMENTO="Licitado",Import.RegimeExecução,Import.Município)</f>
        <v>CÉU AZUL</v>
      </c>
      <c r="J8" s="686"/>
      <c r="K8" s="686"/>
      <c r="L8" s="686"/>
      <c r="M8" s="686" t="str">
        <f ca="1">TEXT(IF(BM.medicao=1,Import.DataInicioObra,OFFSET($AB$12,0,BM.medicao-1-$AB$13)+1),"dd/mm/aaaa")&amp;" a "&amp;TEXT(OFFSET($AB$12,0,BM.medicao-$AB$13),"dd/mm/aaaa")</f>
        <v>00/01/1900 a 00/01/1900</v>
      </c>
      <c r="N8" s="686"/>
      <c r="O8" s="541">
        <v>1</v>
      </c>
    </row>
    <row r="9" spans="1:41" ht="12.75" customHeight="1" x14ac:dyDescent="0.2">
      <c r="A9" s="578" t="b">
        <v>1</v>
      </c>
      <c r="B9" s="55"/>
      <c r="C9" s="676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6"/>
      <c r="D10" s="16"/>
      <c r="E10" s="772" t="str">
        <f>IF(ACOMPANHAMENTO="PLE","Foi selecionado na aba 'MENU' o acompanhamento por PLE.",IF(TIPOORCAMENTO="Proposto","Altere na aba 'MENU' o tipo de orçamento para 'Licitado'.",""))</f>
        <v>Foi selecionado na aba 'MENU' o acompanhamento por PLE.</v>
      </c>
      <c r="F10" s="772"/>
      <c r="G10" s="772"/>
      <c r="H10" s="772"/>
      <c r="I10" s="772"/>
      <c r="J10" s="105"/>
      <c r="K10" s="105"/>
      <c r="L10" s="105"/>
      <c r="N10" s="773" t="str">
        <f ca="1">"Realizado Acumulado: "&amp;TEXT(ROUND($O$15/($I$15+10^-12),4),"0,00%")</f>
        <v>Realizado Acumulado: 0,00%</v>
      </c>
      <c r="O10" s="773"/>
    </row>
    <row r="11" spans="1:41" ht="15" customHeight="1" x14ac:dyDescent="0.25">
      <c r="C11" s="676"/>
      <c r="D11" s="105"/>
      <c r="E11" s="772"/>
      <c r="F11" s="772"/>
      <c r="G11" s="772"/>
      <c r="H11" s="772"/>
      <c r="I11" s="772"/>
      <c r="J11" s="105"/>
      <c r="K11" s="105"/>
      <c r="L11" s="105"/>
      <c r="M11" s="105"/>
      <c r="N11" s="773"/>
      <c r="O11" s="773"/>
      <c r="T11" s="771" t="s">
        <v>340</v>
      </c>
      <c r="U11" s="771"/>
      <c r="V11" s="101"/>
      <c r="W11" s="101"/>
      <c r="X11" s="101"/>
      <c r="Y11" s="101"/>
      <c r="Z11" s="60"/>
      <c r="AB11" s="768" t="s">
        <v>341</v>
      </c>
      <c r="AC11" s="768"/>
      <c r="AD11" s="768"/>
      <c r="AE11" s="768"/>
      <c r="AF11" s="768"/>
      <c r="AG11" s="768"/>
      <c r="AH11" s="768"/>
      <c r="AI11" s="768"/>
      <c r="AJ11" s="768"/>
      <c r="AK11" s="768"/>
      <c r="AL11" s="768"/>
      <c r="AM11" s="768"/>
    </row>
    <row r="12" spans="1:41" ht="15" customHeight="1" x14ac:dyDescent="0.25">
      <c r="C12" s="676"/>
      <c r="D12" s="105"/>
      <c r="E12" s="200" t="s">
        <v>342</v>
      </c>
      <c r="F12" s="105"/>
      <c r="G12" s="105"/>
      <c r="H12" s="105"/>
      <c r="I12" s="105"/>
      <c r="J12" s="769" t="str">
        <f ca="1">"Evolução Física "&amp;CHOOSE(MATCH(RegimeExecucao,{"Unitário","Global"},0),"(Qtde.)","(%)")</f>
        <v>Evolução Física (Qtde.)</v>
      </c>
      <c r="K12" s="769"/>
      <c r="L12" s="769"/>
      <c r="M12" s="769" t="s">
        <v>343</v>
      </c>
      <c r="N12" s="769"/>
      <c r="O12" s="769"/>
      <c r="Q12" s="770" t="str">
        <f ca="1">"Aferido (CAIXA) "&amp;CHOOSE(MATCH(RegimeExecucao,{"Unitário","Global"},0),"(Qtde.)","(%)")</f>
        <v>Aferido (CAIXA) (Qtde.)</v>
      </c>
      <c r="R12" s="770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7" t="str">
        <f>"Objeto do CTEF: "&amp;Import.DescLote</f>
        <v>Objeto do CTEF: RECAPE ASFÁLTICO EM DIVERSAS RUAS DO MUNICÍPIO</v>
      </c>
      <c r="E15" s="767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3" t="str">
        <f ca="1">"Preencher abaixo com a "&amp;CHOOSE(MATCH(RegimeExecucao,{"Unitário","Global"},0),"QUANTIDADE","PORCENTAGEM")&amp;" executada no PERÍODO"</f>
        <v>Preencher abaixo com a QUANTIDADE executada no PERÍODO</v>
      </c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</row>
    <row r="16" spans="1:41" ht="25.5" x14ac:dyDescent="0.2">
      <c r="A16">
        <f ca="1">ORÇAMENTO!C16</f>
        <v>1</v>
      </c>
      <c r="B16">
        <f ca="1">ORÇAMENTO!D16</f>
        <v>250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RECAPE ASFÁLTICO EM DIVERSAS RUAS DO MINICÍPIO DE CÉU AZUL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462522.87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5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SERVIÇOS PRELIMINARES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4259.4799999999996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PLACA DE OBRA (PARA CONSTRUCAO CIVIL) EM CHAPA GALVANIZADA *N. 22*, ADESIVADA, DE *2,0 X 1,125* M</v>
      </c>
      <c r="F18" s="208" t="str">
        <f t="shared" ca="1" si="3"/>
        <v xml:space="preserve">M2    </v>
      </c>
      <c r="G18" s="152">
        <f ca="1">IF(RegimeExecucao="Global","",ORÇAMENTO!T18)</f>
        <v>2.25</v>
      </c>
      <c r="H18" s="152">
        <f ca="1">IF(RegimeExecucao="Global","",ORÇAMENTO!W18)</f>
        <v>353.7</v>
      </c>
      <c r="I18" s="155">
        <f ca="1">ORÇAMENTO!X18</f>
        <v>795.83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LIMPEZA E LAVAGEM DE PISTA</v>
      </c>
      <c r="F19" s="208" t="str">
        <f t="shared" ca="1" si="3"/>
        <v>M2</v>
      </c>
      <c r="G19" s="152">
        <f ca="1">IF(RegimeExecucao="Global","",ORÇAMENTO!T19)</f>
        <v>7369.47</v>
      </c>
      <c r="H19" s="152">
        <f ca="1">IF(RegimeExecucao="Global","",ORÇAMENTO!W19)</f>
        <v>0.47</v>
      </c>
      <c r="I19" s="155">
        <f ca="1">ORÇAMENTO!X19</f>
        <v>3463.65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/>
      </c>
      <c r="D20" s="147" t="str">
        <f ca="1">ORÇAMENTO!O20</f>
        <v>-</v>
      </c>
      <c r="E20" s="207" t="str">
        <f t="shared" ca="1" si="2"/>
        <v>(Sem Código)</v>
      </c>
      <c r="F20" s="208" t="str">
        <f t="shared" ca="1" si="3"/>
        <v>-</v>
      </c>
      <c r="G20" s="152">
        <f ca="1">IF(RegimeExecucao="Global","",ORÇAMENTO!T20)</f>
        <v>0</v>
      </c>
      <c r="H20" s="152">
        <f ca="1">IF(RegimeExecucao="Global","",ORÇAMENTO!W20)</f>
        <v>0</v>
      </c>
      <c r="I20" s="155">
        <f ca="1">ORÇAMENTO!X20</f>
        <v>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/>
      </c>
      <c r="D21" s="147" t="str">
        <f ca="1">ORÇAMENTO!O21</f>
        <v>-</v>
      </c>
      <c r="E21" s="207" t="str">
        <f t="shared" ca="1" si="2"/>
        <v>(Sem Código)</v>
      </c>
      <c r="F21" s="208" t="str">
        <f t="shared" ca="1" si="3"/>
        <v>-</v>
      </c>
      <c r="G21" s="152">
        <f ca="1">IF(RegimeExecucao="Global","",ORÇAMENTO!T21)</f>
        <v>0</v>
      </c>
      <c r="H21" s="152">
        <f ca="1">IF(RegimeExecucao="Global","",ORÇAMENTO!W21)</f>
        <v>0</v>
      </c>
      <c r="I21" s="155">
        <f ca="1">ORÇAMENTO!X21</f>
        <v>0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>
        <f ca="1">ORÇAMENTO!C22</f>
        <v>2</v>
      </c>
      <c r="B22">
        <f ca="1">ORÇAMENTO!D22</f>
        <v>8</v>
      </c>
      <c r="C22" s="144" t="str">
        <f t="shared" ca="1" si="1"/>
        <v>F</v>
      </c>
      <c r="D22" s="147" t="str">
        <f ca="1">ORÇAMENTO!O22</f>
        <v>1.2.</v>
      </c>
      <c r="E22" s="207" t="str">
        <f t="shared" ca="1" si="2"/>
        <v>REPERFILAMENTO ASFÁLTICO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125956.35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/>
      </c>
      <c r="D23" s="147" t="str">
        <f ca="1">ORÇAMENTO!O23</f>
        <v>-</v>
      </c>
      <c r="E23" s="207" t="str">
        <f t="shared" ca="1" si="2"/>
        <v>(Sem Código)</v>
      </c>
      <c r="F23" s="208" t="str">
        <f t="shared" ca="1" si="3"/>
        <v>-</v>
      </c>
      <c r="G23" s="152">
        <f ca="1">IF(RegimeExecucao="Global","",ORÇAMENTO!T23)</f>
        <v>0</v>
      </c>
      <c r="H23" s="152">
        <f ca="1">IF(RegimeExecucao="Global","",ORÇAMENTO!W23)</f>
        <v>0</v>
      </c>
      <c r="I23" s="155">
        <f ca="1">ORÇAMENTO!X23</f>
        <v>0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1.2.1.</v>
      </c>
      <c r="E24" s="207" t="str">
        <f t="shared" ca="1" si="2"/>
        <v>PINTURA DE LIGAÇÃO COM RR-1C - EXCLUSIVE EMULSÃO</v>
      </c>
      <c r="F24" s="208" t="str">
        <f t="shared" ca="1" si="3"/>
        <v>M2</v>
      </c>
      <c r="G24" s="152">
        <f ca="1">IF(RegimeExecucao="Global","",ORÇAMENTO!T24)</f>
        <v>7369.47</v>
      </c>
      <c r="H24" s="152">
        <f ca="1">IF(RegimeExecucao="Global","",ORÇAMENTO!W24)</f>
        <v>0.27</v>
      </c>
      <c r="I24" s="155">
        <f ca="1">ORÇAMENTO!X24</f>
        <v>1989.76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1.2.2.</v>
      </c>
      <c r="E25" s="207" t="str">
        <f t="shared" ca="1" si="2"/>
        <v>FORNECIMENTO DE EMULSÃO RR-1C PARA PINTURA DE LIGAÇÃO</v>
      </c>
      <c r="F25" s="208" t="str">
        <f t="shared" ca="1" si="3"/>
        <v>TON</v>
      </c>
      <c r="G25" s="152">
        <f ca="1">IF(RegimeExecucao="Global","",ORÇAMENTO!T25)</f>
        <v>3.6899999999999995</v>
      </c>
      <c r="H25" s="152">
        <f ca="1">IF(RegimeExecucao="Global","",ORÇAMENTO!W25)</f>
        <v>3057.17</v>
      </c>
      <c r="I25" s="155">
        <f ca="1">ORÇAMENTO!X25</f>
        <v>11280.96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1.2.3.</v>
      </c>
      <c r="E26" s="207" t="str">
        <f t="shared" ca="1" si="2"/>
        <v>CBUQ (QUANTIDADE MENOR QUE 10000 TON)</v>
      </c>
      <c r="F26" s="208" t="str">
        <f t="shared" ca="1" si="3"/>
        <v>TON</v>
      </c>
      <c r="G26" s="152">
        <f ca="1">IF(RegimeExecucao="Global","",ORÇAMENTO!T26)</f>
        <v>285.86</v>
      </c>
      <c r="H26" s="152">
        <f ca="1">IF(RegimeExecucao="Global","",ORÇAMENTO!W26)</f>
        <v>188.94</v>
      </c>
      <c r="I26" s="155">
        <f ca="1">ORÇAMENTO!X26</f>
        <v>54010.39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>F</v>
      </c>
      <c r="D27" s="147" t="str">
        <f ca="1">ORÇAMENTO!O27</f>
        <v>1.2.4.</v>
      </c>
      <c r="E27" s="207" t="str">
        <f t="shared" ca="1" si="2"/>
        <v>FORNECIMENTO DE CAP PARA CBUQ (MENOR QUE 10000 TON)</v>
      </c>
      <c r="F27" s="208" t="str">
        <f t="shared" ca="1" si="3"/>
        <v>TON</v>
      </c>
      <c r="G27" s="152">
        <f ca="1">IF(RegimeExecucao="Global","",ORÇAMENTO!T27)</f>
        <v>14.02</v>
      </c>
      <c r="H27" s="152">
        <f ca="1">IF(RegimeExecucao="Global","",ORÇAMENTO!W27)</f>
        <v>4185.1099999999997</v>
      </c>
      <c r="I27" s="155">
        <f ca="1">ORÇAMENTO!X27</f>
        <v>58675.24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/>
      </c>
      <c r="D28" s="147" t="str">
        <f ca="1">ORÇAMENTO!O28</f>
        <v>-</v>
      </c>
      <c r="E28" s="207" t="str">
        <f t="shared" ca="1" si="2"/>
        <v>(Sem Código)</v>
      </c>
      <c r="F28" s="208" t="str">
        <f t="shared" ca="1" si="3"/>
        <v>-</v>
      </c>
      <c r="G28" s="152">
        <f ca="1">IF(RegimeExecucao="Global","",ORÇAMENTO!T28)</f>
        <v>0</v>
      </c>
      <c r="H28" s="152">
        <f ca="1">IF(RegimeExecucao="Global","",ORÇAMENTO!W28)</f>
        <v>0</v>
      </c>
      <c r="I28" s="155">
        <f ca="1">ORÇAMENTO!X28</f>
        <v>0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/>
      </c>
      <c r="D29" s="147" t="str">
        <f ca="1">ORÇAMENTO!O29</f>
        <v>-</v>
      </c>
      <c r="E29" s="207" t="str">
        <f t="shared" ca="1" si="2"/>
        <v>(Sem Código)</v>
      </c>
      <c r="F29" s="208" t="str">
        <f t="shared" ca="1" si="3"/>
        <v>-</v>
      </c>
      <c r="G29" s="152">
        <f ca="1">IF(RegimeExecucao="Global","",ORÇAMENTO!T29)</f>
        <v>0</v>
      </c>
      <c r="H29" s="152">
        <f ca="1">IF(RegimeExecucao="Global","",ORÇAMENTO!W29)</f>
        <v>0</v>
      </c>
      <c r="I29" s="155">
        <f ca="1">ORÇAMENTO!X29</f>
        <v>0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>
        <f ca="1">ORÇAMENTO!C30</f>
        <v>2</v>
      </c>
      <c r="B30">
        <f ca="1">ORÇAMENTO!D30</f>
        <v>9</v>
      </c>
      <c r="C30" s="144" t="str">
        <f t="shared" ca="1" si="1"/>
        <v>F</v>
      </c>
      <c r="D30" s="147" t="str">
        <f ca="1">ORÇAMENTO!O30</f>
        <v>1.3.</v>
      </c>
      <c r="E30" s="207" t="str">
        <f t="shared" ca="1" si="2"/>
        <v>RECAPEAMENTO ASFÁLTICO</v>
      </c>
      <c r="F30" s="208" t="str">
        <f t="shared" ca="1" si="3"/>
        <v>-</v>
      </c>
      <c r="G30" s="152">
        <f ca="1">IF(RegimeExecucao="Global","",ORÇAMENTO!T30)</f>
        <v>0</v>
      </c>
      <c r="H30" s="152">
        <f ca="1">IF(RegimeExecucao="Global","",ORÇAMENTO!W30)</f>
        <v>0</v>
      </c>
      <c r="I30" s="155">
        <f ca="1">ORÇAMENTO!X30</f>
        <v>304428.87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>F</v>
      </c>
      <c r="D31" s="147" t="str">
        <f ca="1">ORÇAMENTO!O31</f>
        <v>1.3.1.</v>
      </c>
      <c r="E31" s="207" t="str">
        <f t="shared" ca="1" si="2"/>
        <v>PINTURA DE LIGAÇÃO COM RR-1C - EXCLUSIVE EMULSÃO</v>
      </c>
      <c r="F31" s="208" t="str">
        <f t="shared" ca="1" si="3"/>
        <v>M2</v>
      </c>
      <c r="G31" s="152">
        <f ca="1">IF(RegimeExecucao="Global","",ORÇAMENTO!T31)</f>
        <v>7369.47</v>
      </c>
      <c r="H31" s="152">
        <f ca="1">IF(RegimeExecucao="Global","",ORÇAMENTO!W31)</f>
        <v>0.27</v>
      </c>
      <c r="I31" s="155">
        <f ca="1">ORÇAMENTO!X31</f>
        <v>1989.76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>F</v>
      </c>
      <c r="D32" s="147" t="str">
        <f ca="1">ORÇAMENTO!O32</f>
        <v>1.3.2.</v>
      </c>
      <c r="E32" s="207" t="str">
        <f t="shared" ca="1" si="2"/>
        <v>FORNECIMENTO DE EMULSÃO RR-1C PARA PINTURA DE LIGAÇÃO</v>
      </c>
      <c r="F32" s="208" t="str">
        <f t="shared" ca="1" si="3"/>
        <v>TON</v>
      </c>
      <c r="G32" s="152">
        <f ca="1">IF(RegimeExecucao="Global","",ORÇAMENTO!T32)</f>
        <v>3.6899999999999995</v>
      </c>
      <c r="H32" s="152">
        <f ca="1">IF(RegimeExecucao="Global","",ORÇAMENTO!W32)</f>
        <v>3057.17</v>
      </c>
      <c r="I32" s="155">
        <f ca="1">ORÇAMENTO!X32</f>
        <v>11280.96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>F</v>
      </c>
      <c r="D33" s="147" t="str">
        <f ca="1">ORÇAMENTO!O33</f>
        <v>1.3.3.</v>
      </c>
      <c r="E33" s="207" t="str">
        <f t="shared" ca="1" si="2"/>
        <v>CBUQ (QUANTIDADE MENOR QUE 10000 TON)</v>
      </c>
      <c r="F33" s="208" t="str">
        <f t="shared" ca="1" si="3"/>
        <v>TON</v>
      </c>
      <c r="G33" s="152">
        <f ca="1">IF(RegimeExecucao="Global","",ORÇAMENTO!T33)</f>
        <v>738.94</v>
      </c>
      <c r="H33" s="152">
        <f ca="1">IF(RegimeExecucao="Global","",ORÇAMENTO!W33)</f>
        <v>188.94</v>
      </c>
      <c r="I33" s="155">
        <f ca="1">ORÇAMENTO!X33</f>
        <v>139615.32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>F</v>
      </c>
      <c r="D34" s="147" t="str">
        <f ca="1">ORÇAMENTO!O34</f>
        <v>1.3.4.</v>
      </c>
      <c r="E34" s="207" t="str">
        <f t="shared" ca="1" si="2"/>
        <v>FORNECIMENTO DE CAP PARA CBUQ (MENOR QUE 10000 TON)</v>
      </c>
      <c r="F34" s="208" t="str">
        <f t="shared" ca="1" si="3"/>
        <v>TON</v>
      </c>
      <c r="G34" s="152">
        <f ca="1">IF(RegimeExecucao="Global","",ORÇAMENTO!T34)</f>
        <v>36.21</v>
      </c>
      <c r="H34" s="152">
        <f ca="1">IF(RegimeExecucao="Global","",ORÇAMENTO!W34)</f>
        <v>4185.1099999999997</v>
      </c>
      <c r="I34" s="155">
        <f ca="1">ORÇAMENTO!X34</f>
        <v>151542.82999999999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(Sem Código)</v>
      </c>
      <c r="F35" s="208" t="str">
        <f t="shared" ca="1" si="3"/>
        <v>-</v>
      </c>
      <c r="G35" s="152">
        <f ca="1">IF(RegimeExecucao="Global","",ORÇAMENTO!T35)</f>
        <v>0</v>
      </c>
      <c r="H35" s="152">
        <f ca="1">IF(RegimeExecucao="Global","",ORÇAMENTO!W35)</f>
        <v>0</v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/>
      </c>
      <c r="D36" s="147" t="str">
        <f ca="1">ORÇAMENTO!O36</f>
        <v>-</v>
      </c>
      <c r="E36" s="207" t="str">
        <f t="shared" ca="1" si="2"/>
        <v>(Sem Código)</v>
      </c>
      <c r="F36" s="208" t="str">
        <f t="shared" ca="1" si="3"/>
        <v>-</v>
      </c>
      <c r="G36" s="152">
        <f ca="1">IF(RegimeExecucao="Global","",ORÇAMENTO!T36)</f>
        <v>0</v>
      </c>
      <c r="H36" s="152">
        <f ca="1">IF(RegimeExecucao="Global","",ORÇAMENTO!W36)</f>
        <v>0</v>
      </c>
      <c r="I36" s="155">
        <f ca="1">ORÇAMENTO!X36</f>
        <v>0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/>
      </c>
      <c r="D37" s="147" t="str">
        <f ca="1">ORÇAMENTO!O37</f>
        <v>-</v>
      </c>
      <c r="E37" s="207" t="str">
        <f t="shared" ca="1" si="2"/>
        <v>(Sem Código)</v>
      </c>
      <c r="F37" s="208" t="str">
        <f t="shared" ca="1" si="3"/>
        <v>-</v>
      </c>
      <c r="G37" s="152">
        <f ca="1">IF(RegimeExecucao="Global","",ORÇAMENTO!T37)</f>
        <v>0</v>
      </c>
      <c r="H37" s="152">
        <f ca="1">IF(RegimeExecucao="Global","",ORÇAMENTO!W37)</f>
        <v>0</v>
      </c>
      <c r="I37" s="155">
        <f ca="1">ORÇAMENTO!X37</f>
        <v>0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/>
      </c>
      <c r="D38" s="147" t="str">
        <f ca="1">ORÇAMENTO!O38</f>
        <v>-</v>
      </c>
      <c r="E38" s="207" t="str">
        <f t="shared" ca="1" si="2"/>
        <v>(Sem Código)</v>
      </c>
      <c r="F38" s="208" t="str">
        <f t="shared" ca="1" si="3"/>
        <v>-</v>
      </c>
      <c r="G38" s="152">
        <f ca="1">IF(RegimeExecucao="Global","",ORÇAMENTO!T38)</f>
        <v>0</v>
      </c>
      <c r="H38" s="152">
        <f ca="1">IF(RegimeExecucao="Global","",ORÇAMENTO!W38)</f>
        <v>0</v>
      </c>
      <c r="I38" s="155">
        <f ca="1">ORÇAMENTO!X38</f>
        <v>0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>
        <f ca="1">ORÇAMENTO!C39</f>
        <v>2</v>
      </c>
      <c r="B39">
        <f ca="1">ORÇAMENTO!D39</f>
        <v>12</v>
      </c>
      <c r="C39" s="144" t="str">
        <f t="shared" ca="1" si="1"/>
        <v>F</v>
      </c>
      <c r="D39" s="147" t="str">
        <f ca="1">ORÇAMENTO!O39</f>
        <v>1.4.</v>
      </c>
      <c r="E39" s="207" t="str">
        <f t="shared" ca="1" si="2"/>
        <v>SINALIZAÇÃO VIÁRIA</v>
      </c>
      <c r="F39" s="208" t="str">
        <f t="shared" ca="1" si="3"/>
        <v>-</v>
      </c>
      <c r="G39" s="152">
        <f ca="1">IF(RegimeExecucao="Global","",ORÇAMENTO!T39)</f>
        <v>0</v>
      </c>
      <c r="H39" s="152">
        <f ca="1">IF(RegimeExecucao="Global","",ORÇAMENTO!W39)</f>
        <v>0</v>
      </c>
      <c r="I39" s="155">
        <f ca="1">ORÇAMENTO!X39</f>
        <v>14985.91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ht="25.5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>F</v>
      </c>
      <c r="D40" s="147" t="str">
        <f ca="1">ORÇAMENTO!O40</f>
        <v>1.4.1.</v>
      </c>
      <c r="E40" s="207" t="str">
        <f t="shared" ca="1" si="2"/>
        <v>FAIXA DE SINALIZAÇÃO HORIZONTAL COM TINTA RESINA ACRÍLICA BASE DE SOLVENTE - COR BRANCA</v>
      </c>
      <c r="F40" s="208" t="str">
        <f t="shared" ca="1" si="3"/>
        <v>M2</v>
      </c>
      <c r="G40" s="152">
        <f ca="1">IF(RegimeExecucao="Global","",ORÇAMENTO!T40)</f>
        <v>234.29999999999998</v>
      </c>
      <c r="H40" s="152">
        <f ca="1">IF(RegimeExecucao="Global","",ORÇAMENTO!W40)</f>
        <v>29.96</v>
      </c>
      <c r="I40" s="155">
        <f ca="1">ORÇAMENTO!X40</f>
        <v>7019.63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ht="25.5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>F</v>
      </c>
      <c r="D41" s="147" t="str">
        <f ca="1">ORÇAMENTO!O41</f>
        <v>1.4.2.</v>
      </c>
      <c r="E41" s="207" t="str">
        <f t="shared" ca="1" si="2"/>
        <v>FAIXA DE SINALIZAÇÃO HORIZONTAL COM TINTA RESINA ACRÍLICA BASE DE SOLVENTE - COR AMARELA</v>
      </c>
      <c r="F41" s="208" t="str">
        <f t="shared" ca="1" si="3"/>
        <v>M2</v>
      </c>
      <c r="G41" s="152">
        <f ca="1">IF(RegimeExecucao="Global","",ORÇAMENTO!T41)</f>
        <v>20.2</v>
      </c>
      <c r="H41" s="152">
        <f ca="1">IF(RegimeExecucao="Global","",ORÇAMENTO!W41)</f>
        <v>29.96</v>
      </c>
      <c r="I41" s="155">
        <f ca="1">ORÇAMENTO!X41</f>
        <v>605.19000000000005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ht="25.5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>F</v>
      </c>
      <c r="D42" s="147" t="str">
        <f ca="1">ORÇAMENTO!O42</f>
        <v>1.4.3.</v>
      </c>
      <c r="E42" s="207" t="str">
        <f t="shared" ca="1" si="2"/>
        <v>PLACA DE SINALIZAÇÃO REFLETIVA - TRIÂNGULO (0,1219 M2/UN) + SUPORTE METÁLICO</v>
      </c>
      <c r="F42" s="208" t="str">
        <f t="shared" ca="1" si="3"/>
        <v xml:space="preserve">UN </v>
      </c>
      <c r="G42" s="152">
        <f ca="1">IF(RegimeExecucao="Global","",ORÇAMENTO!T42)</f>
        <v>11</v>
      </c>
      <c r="H42" s="152">
        <f ca="1">IF(RegimeExecucao="Global","",ORÇAMENTO!W42)</f>
        <v>311.05</v>
      </c>
      <c r="I42" s="155">
        <f ca="1">ORÇAMENTO!X42</f>
        <v>3421.55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25.5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>F</v>
      </c>
      <c r="D43" s="147" t="str">
        <f ca="1">ORÇAMENTO!O43</f>
        <v>1.4.4.</v>
      </c>
      <c r="E43" s="207" t="str">
        <f t="shared" ca="1" si="2"/>
        <v>PLACA DE SINALIZAÇÃO REFLETIVA - RETANGULAR DUPLA (DUAS DE 0,20 x 0,60) EM L (0,24 M2/UN) + SUPORTE METÁLICO</v>
      </c>
      <c r="F43" s="208" t="str">
        <f t="shared" ca="1" si="3"/>
        <v xml:space="preserve">UN </v>
      </c>
      <c r="G43" s="152">
        <f ca="1">IF(RegimeExecucao="Global","",ORÇAMENTO!T43)</f>
        <v>11</v>
      </c>
      <c r="H43" s="152">
        <f ca="1">IF(RegimeExecucao="Global","",ORÇAMENTO!W43)</f>
        <v>358.14</v>
      </c>
      <c r="I43" s="155">
        <f ca="1">ORÇAMENTO!X43</f>
        <v>3939.54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25.5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PLACA DE SINALIZAÇÃO REFLETIVA - LOSANGO (0,2025 M2/UD) + SUPORTE METÁLICO</v>
      </c>
      <c r="F44" s="208" t="str">
        <f t="shared" ca="1" si="3"/>
        <v>UN.</v>
      </c>
      <c r="G44" s="152">
        <f ca="1">IF(RegimeExecucao="Global","",ORÇAMENTO!T44)</f>
        <v>0</v>
      </c>
      <c r="H44" s="152">
        <f ca="1">IF(RegimeExecucao="Global","",ORÇAMENTO!W44)</f>
        <v>391.59</v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/>
      </c>
      <c r="D45" s="147" t="str">
        <f ca="1">ORÇAMENTO!O45</f>
        <v>-</v>
      </c>
      <c r="E45" s="207" t="str">
        <f t="shared" ca="1" si="2"/>
        <v>(Sem Código)</v>
      </c>
      <c r="F45" s="208" t="str">
        <f t="shared" ca="1" si="3"/>
        <v>-</v>
      </c>
      <c r="G45" s="152">
        <f ca="1">IF(RegimeExecucao="Global","",ORÇAMENTO!T45)</f>
        <v>0</v>
      </c>
      <c r="H45" s="152">
        <f ca="1">IF(RegimeExecucao="Global","",ORÇAMENTO!W45)</f>
        <v>0</v>
      </c>
      <c r="I45" s="155">
        <f ca="1">ORÇAMENTO!X45</f>
        <v>0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(Sem Código)</v>
      </c>
      <c r="F46" s="208" t="str">
        <f t="shared" ca="1" si="3"/>
        <v>-</v>
      </c>
      <c r="G46" s="152">
        <f ca="1">IF(RegimeExecucao="Global","",ORÇAMENTO!T46)</f>
        <v>0</v>
      </c>
      <c r="H46" s="152">
        <f ca="1">IF(RegimeExecucao="Global","",ORÇAMENTO!W46)</f>
        <v>0</v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(Sem Código)</v>
      </c>
      <c r="F47" s="208" t="str">
        <f t="shared" ca="1" si="3"/>
        <v>-</v>
      </c>
      <c r="G47" s="152">
        <f ca="1">IF(RegimeExecucao="Global","",ORÇAMENTO!T47)</f>
        <v>0</v>
      </c>
      <c r="H47" s="152">
        <f ca="1">IF(RegimeExecucao="Global","",ORÇAMENTO!W47)</f>
        <v>0</v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(Sem Código)</v>
      </c>
      <c r="F48" s="208" t="str">
        <f t="shared" ca="1" si="3"/>
        <v>-</v>
      </c>
      <c r="G48" s="152">
        <f ca="1">IF(RegimeExecucao="Global","",ORÇAMENTO!T48)</f>
        <v>0</v>
      </c>
      <c r="H48" s="152">
        <f ca="1">IF(RegimeExecucao="Global","",ORÇAMENTO!W48)</f>
        <v>0</v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/>
      </c>
      <c r="D49" s="147" t="str">
        <f ca="1">ORÇAMENTO!O49</f>
        <v>-</v>
      </c>
      <c r="E49" s="207" t="str">
        <f t="shared" ca="1" si="2"/>
        <v>(Sem Código)</v>
      </c>
      <c r="F49" s="208" t="str">
        <f t="shared" ca="1" si="3"/>
        <v>-</v>
      </c>
      <c r="G49" s="152">
        <f ca="1">IF(RegimeExecucao="Global","",ORÇAMENTO!T49)</f>
        <v>0</v>
      </c>
      <c r="H49" s="152">
        <f ca="1">IF(RegimeExecucao="Global","",ORÇAMENTO!W49)</f>
        <v>0</v>
      </c>
      <c r="I49" s="155">
        <f ca="1">ORÇAMENTO!X49</f>
        <v>0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/>
      </c>
      <c r="D50" s="147" t="str">
        <f ca="1">ORÇAMENTO!O50</f>
        <v>-</v>
      </c>
      <c r="E50" s="207" t="str">
        <f t="shared" ca="1" si="2"/>
        <v>(Sem Código)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0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>
        <f ca="1">ORÇAMENTO!C51</f>
        <v>2</v>
      </c>
      <c r="B51">
        <f ca="1">ORÇAMENTO!D51</f>
        <v>215</v>
      </c>
      <c r="C51" s="144" t="str">
        <f t="shared" ca="1" si="1"/>
        <v>F</v>
      </c>
      <c r="D51" s="147" t="str">
        <f ca="1">ORÇAMENTO!O51</f>
        <v>1.5.</v>
      </c>
      <c r="E51" s="207" t="str">
        <f t="shared" ca="1" si="2"/>
        <v>ENSAIOS TECNOLÓGICOS</v>
      </c>
      <c r="F51" s="208" t="str">
        <f t="shared" ca="1" si="3"/>
        <v>-</v>
      </c>
      <c r="G51" s="152">
        <f ca="1">IF(RegimeExecucao="Global","",ORÇAMENTO!T51)</f>
        <v>0</v>
      </c>
      <c r="H51" s="152">
        <f ca="1">IF(RegimeExecucao="Global","",ORÇAMENTO!W51)</f>
        <v>0</v>
      </c>
      <c r="I51" s="155">
        <f ca="1">ORÇAMENTO!X51</f>
        <v>12892.26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ht="25.5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>F</v>
      </c>
      <c r="D52" s="147" t="str">
        <f ca="1">ORÇAMENTO!O52</f>
        <v>1.5.1.</v>
      </c>
      <c r="E52" s="207" t="str">
        <f t="shared" ca="1" si="2"/>
        <v>MOBILIZAÇÃO E DEMOBILIZAÇÃO DE EQUIPEMENTO E EQUIPE PARA EXTRAÇÃO DE CORPOS DE PROVA DA CAPA ASFÁLTICA</v>
      </c>
      <c r="F52" s="208" t="str">
        <f t="shared" ca="1" si="3"/>
        <v>GB</v>
      </c>
      <c r="G52" s="152">
        <f ca="1">IF(RegimeExecucao="Global","",ORÇAMENTO!T52)</f>
        <v>1</v>
      </c>
      <c r="H52" s="152">
        <f ca="1">IF(RegimeExecucao="Global","",ORÇAMENTO!W52)</f>
        <v>5436.36</v>
      </c>
      <c r="I52" s="155">
        <f ca="1">ORÇAMENTO!X52</f>
        <v>5436.36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ht="25.5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>F</v>
      </c>
      <c r="D53" s="147" t="str">
        <f ca="1">ORÇAMENTO!O53</f>
        <v>1.5.2.</v>
      </c>
      <c r="E53" s="207" t="str">
        <f t="shared" ca="1" si="2"/>
        <v>EXTRAÇÃO DE CORPO DE PROVA DE CONCRETO ASFÁLTICO COM SONDA ROTATIVA</v>
      </c>
      <c r="F53" s="208" t="str">
        <f t="shared" ca="1" si="3"/>
        <v xml:space="preserve">UN </v>
      </c>
      <c r="G53" s="152">
        <f ca="1">IF(RegimeExecucao="Global","",ORÇAMENTO!T53)</f>
        <v>15</v>
      </c>
      <c r="H53" s="152">
        <f ca="1">IF(RegimeExecucao="Global","",ORÇAMENTO!W53)</f>
        <v>123.79</v>
      </c>
      <c r="I53" s="155">
        <f ca="1">ORÇAMENTO!X53</f>
        <v>1856.85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>F</v>
      </c>
      <c r="D54" s="147" t="str">
        <f ca="1">ORÇAMENTO!O54</f>
        <v>1.5.3.</v>
      </c>
      <c r="E54" s="207" t="str">
        <f t="shared" ca="1" si="2"/>
        <v>ENSAIO DE PERCENTAGEM DE BETUME - MISTURAS BETUMINOSAS</v>
      </c>
      <c r="F54" s="208" t="str">
        <f t="shared" ca="1" si="3"/>
        <v xml:space="preserve">UN </v>
      </c>
      <c r="G54" s="152">
        <f ca="1">IF(RegimeExecucao="Global","",ORÇAMENTO!T54)</f>
        <v>15</v>
      </c>
      <c r="H54" s="152">
        <f ca="1">IF(RegimeExecucao="Global","",ORÇAMENTO!W54)</f>
        <v>158.78</v>
      </c>
      <c r="I54" s="155">
        <f ca="1">ORÇAMENTO!X54</f>
        <v>2381.6999999999998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ht="25.5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>F</v>
      </c>
      <c r="D55" s="147" t="str">
        <f ca="1">ORÇAMENTO!O55</f>
        <v>1.5.4.</v>
      </c>
      <c r="E55" s="207" t="str">
        <f t="shared" ca="1" si="2"/>
        <v>ENSAIO DE CONTROLE DO GRAU DE COMPACTAÇÃO DA MISTURA ASFÁLTICA</v>
      </c>
      <c r="F55" s="208" t="str">
        <f t="shared" ca="1" si="3"/>
        <v xml:space="preserve">UN </v>
      </c>
      <c r="G55" s="152">
        <f ca="1">IF(RegimeExecucao="Global","",ORÇAMENTO!T55)</f>
        <v>15</v>
      </c>
      <c r="H55" s="152">
        <f ca="1">IF(RegimeExecucao="Global","",ORÇAMENTO!W55)</f>
        <v>118.49</v>
      </c>
      <c r="I55" s="155">
        <f ca="1">ORÇAMENTO!X55</f>
        <v>1777.35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>F</v>
      </c>
      <c r="D56" s="147" t="str">
        <f ca="1">ORÇAMENTO!O56</f>
        <v>1.5.5.</v>
      </c>
      <c r="E56" s="207" t="str">
        <f t="shared" ca="1" si="2"/>
        <v>ENSAIO DE DENSIDADE DO MATERIAL BETUMINOSO</v>
      </c>
      <c r="F56" s="208" t="str">
        <f t="shared" ca="1" si="3"/>
        <v xml:space="preserve">UN </v>
      </c>
      <c r="G56" s="152">
        <f ca="1">IF(RegimeExecucao="Global","",ORÇAMENTO!T56)</f>
        <v>15</v>
      </c>
      <c r="H56" s="152">
        <f ca="1">IF(RegimeExecucao="Global","",ORÇAMENTO!W56)</f>
        <v>96</v>
      </c>
      <c r="I56" s="155">
        <f ca="1">ORÇAMENTO!X56</f>
        <v>1440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(Sem Código)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(Sem Código)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(Sem Código)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(Sem Código)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LIMPEZA DE BUEIRO</v>
      </c>
      <c r="F63" s="208" t="str">
        <f t="shared" ca="1" si="3"/>
        <v xml:space="preserve">UN </v>
      </c>
      <c r="G63" s="152">
        <f ca="1">IF(RegimeExecucao="Global","",ORÇAMENTO!T63)</f>
        <v>0</v>
      </c>
      <c r="H63" s="152">
        <f ca="1">IF(RegimeExecucao="Global","",ORÇAMENTO!W63)</f>
        <v>130.16</v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ESCAVAÇÃO DE BUEIRO EM 1ª CATEGORIA</v>
      </c>
      <c r="F64" s="208" t="str">
        <f t="shared" ca="1" si="3"/>
        <v>M3</v>
      </c>
      <c r="G64" s="152">
        <f ca="1">IF(RegimeExecucao="Global","",ORÇAMENTO!T64)</f>
        <v>0</v>
      </c>
      <c r="H64" s="152">
        <f ca="1">IF(RegimeExecucao="Global","",ORÇAMENTO!W64)</f>
        <v>8.7899999999999991</v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CORPO DE BSTC Ø0,40 SEM BERÇO E SEM ARMAÇÃO</v>
      </c>
      <c r="F65" s="208" t="str">
        <f t="shared" ca="1" si="3"/>
        <v>M</v>
      </c>
      <c r="G65" s="152">
        <f ca="1">IF(RegimeExecucao="Global","",ORÇAMENTO!T65)</f>
        <v>0</v>
      </c>
      <c r="H65" s="152">
        <f ca="1">IF(RegimeExecucao="Global","",ORÇAMENTO!W65)</f>
        <v>83.9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REATERRO E APILOAMENTO MECÂNICO</v>
      </c>
      <c r="F66" s="208" t="str">
        <f t="shared" ca="1" si="3"/>
        <v>M3</v>
      </c>
      <c r="G66" s="152">
        <f ca="1">IF(RegimeExecucao="Global","",ORÇAMENTO!T66)</f>
        <v>0</v>
      </c>
      <c r="H66" s="152">
        <f ca="1">IF(RegimeExecucao="Global","",ORÇAMENTO!W66)</f>
        <v>29.84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RETIRADA E REASSENTAMENTO DE PEDRAS IRREGULARES</v>
      </c>
      <c r="F67" s="208" t="str">
        <f t="shared" ca="1" si="3"/>
        <v>M2</v>
      </c>
      <c r="G67" s="152">
        <f ca="1">IF(RegimeExecucao="Global","",ORÇAMENTO!T67)</f>
        <v>0</v>
      </c>
      <c r="H67" s="152">
        <f ca="1">IF(RegimeExecucao="Global","",ORÇAMENTO!W67)</f>
        <v>13.71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BOCA DE LOBO SIMPLES PRÉ-MOLDADA H ATÉ 1,20 M</v>
      </c>
      <c r="F68" s="208" t="str">
        <f t="shared" ca="1" si="3"/>
        <v xml:space="preserve">UN </v>
      </c>
      <c r="G68" s="152">
        <f ca="1">IF(RegimeExecucao="Global","",ORÇAMENTO!T68)</f>
        <v>0</v>
      </c>
      <c r="H68" s="152">
        <f ca="1">IF(RegimeExecucao="Global","",ORÇAMENTO!W68)</f>
        <v>1206.3399999999999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(Sem Código)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(Sem Código)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(Sem Código)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(Sem Código)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(Sem Código)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(Sem Código)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(Sem Código)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(Sem Código)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0</v>
      </c>
      <c r="H80" s="152">
        <f ca="1">IF(RegimeExecucao="Global","",ORÇAMENTO!W80)</f>
        <v>0</v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(Sem Código)</v>
      </c>
      <c r="F82" s="208" t="str">
        <f t="shared" ca="1" si="14"/>
        <v>-</v>
      </c>
      <c r="G82" s="152">
        <f ca="1">IF(RegimeExecucao="Global","",ORÇAMENTO!T82)</f>
        <v>0</v>
      </c>
      <c r="H82" s="152">
        <f ca="1">IF(RegimeExecucao="Global","",ORÇAMENTO!W82)</f>
        <v>0</v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0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(Sem Código)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(Sem Código)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(Sem Código)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(Sem Código)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(Sem Código)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(Sem Código)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(Sem Código)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4" t="s">
        <v>186</v>
      </c>
      <c r="E268" s="764"/>
      <c r="F268" s="764"/>
      <c r="G268" s="764"/>
      <c r="H268" s="764"/>
      <c r="I268" s="764"/>
      <c r="J268" s="764"/>
      <c r="K268" s="764"/>
      <c r="L268" s="764"/>
      <c r="M268" s="764"/>
      <c r="N268" s="764"/>
      <c r="O268" s="764"/>
      <c r="T268" s="765" t="s">
        <v>352</v>
      </c>
      <c r="U268" s="765"/>
      <c r="V268" s="765"/>
      <c r="W268" s="765"/>
      <c r="X268" s="765"/>
      <c r="Y268" s="765"/>
      <c r="Z268" s="765"/>
    </row>
    <row r="269" spans="1:41" ht="12.75" customHeight="1" x14ac:dyDescent="0.2">
      <c r="C269" s="105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T269" s="766"/>
      <c r="U269" s="766"/>
      <c r="V269" s="766"/>
      <c r="W269" s="766"/>
      <c r="X269" s="766"/>
      <c r="Y269" s="766"/>
      <c r="Z269" s="766"/>
    </row>
    <row r="270" spans="1:41" ht="12.75" customHeight="1" x14ac:dyDescent="0.2">
      <c r="C270" s="105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T270" s="766"/>
      <c r="U270" s="766"/>
      <c r="V270" s="766"/>
      <c r="W270" s="766"/>
      <c r="X270" s="766"/>
      <c r="Y270" s="766"/>
      <c r="Z270" s="766"/>
    </row>
    <row r="271" spans="1:41" ht="12.75" customHeight="1" x14ac:dyDescent="0.2">
      <c r="C271" s="105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T271" s="766"/>
      <c r="U271" s="766"/>
      <c r="V271" s="766"/>
      <c r="W271" s="766"/>
      <c r="X271" s="766"/>
      <c r="Y271" s="766"/>
      <c r="Z271" s="766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4"/>
      <c r="F273" s="704"/>
      <c r="G273" s="704"/>
      <c r="H273" s="704"/>
      <c r="I273" s="704"/>
      <c r="J273" s="704"/>
      <c r="K273" s="704"/>
      <c r="L273" s="704"/>
    </row>
    <row r="274" spans="3:26" x14ac:dyDescent="0.2">
      <c r="C274" s="105"/>
      <c r="D274" s="762"/>
      <c r="E274" s="762"/>
      <c r="F274" s="762"/>
      <c r="G274" s="762"/>
      <c r="H274" s="762"/>
      <c r="I274" s="762"/>
    </row>
    <row r="275" spans="3:26" x14ac:dyDescent="0.2">
      <c r="C275" s="105"/>
      <c r="D275" s="760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0"/>
      <c r="F275" s="760"/>
      <c r="G275" s="760"/>
      <c r="H275" s="760"/>
      <c r="I275" s="760"/>
      <c r="J275" s="760"/>
      <c r="K275" s="760"/>
      <c r="L275" s="760"/>
      <c r="M275" s="760"/>
      <c r="N275" s="760"/>
      <c r="O275" s="760"/>
    </row>
    <row r="276" spans="3:26" ht="39.950000000000003" customHeight="1" x14ac:dyDescent="0.2">
      <c r="C276" s="105"/>
      <c r="E276" s="175" t="str">
        <f>Import.Município</f>
        <v>CÉU AZUL</v>
      </c>
      <c r="J276" s="761"/>
      <c r="K276" s="761"/>
      <c r="L276" s="761"/>
      <c r="M276" s="761"/>
      <c r="N276" s="105"/>
      <c r="O276" s="105"/>
      <c r="W276" s="761"/>
      <c r="X276" s="761"/>
      <c r="Y276" s="761"/>
      <c r="Z276" s="761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GUSTAVO FRANCESCHINI</v>
      </c>
      <c r="L278" s="96"/>
      <c r="M278" s="105"/>
      <c r="N278" s="105"/>
      <c r="O278" s="105"/>
      <c r="W278" s="95" t="s">
        <v>107</v>
      </c>
      <c r="X278" s="759"/>
      <c r="Y278" s="759"/>
      <c r="Z278" s="759"/>
    </row>
    <row r="279" spans="3:26" x14ac:dyDescent="0.2">
      <c r="C279" s="105"/>
      <c r="E279" s="601">
        <f ca="1">DADOS!$F$47</f>
        <v>44134</v>
      </c>
      <c r="J279" s="95" t="s">
        <v>126</v>
      </c>
      <c r="K279" s="354" t="str">
        <v>ENGENHEIRO CIVIL</v>
      </c>
      <c r="L279" s="96"/>
      <c r="M279" s="105"/>
      <c r="N279" s="105"/>
      <c r="O279" s="105"/>
      <c r="W279" s="95" t="s">
        <v>354</v>
      </c>
      <c r="X279" s="759"/>
      <c r="Y279" s="759"/>
      <c r="Z279" s="759"/>
    </row>
    <row r="280" spans="3:26" x14ac:dyDescent="0.2">
      <c r="C280" s="105"/>
      <c r="E280" s="178" t="s">
        <v>188</v>
      </c>
      <c r="J280" s="95" t="s">
        <v>108</v>
      </c>
      <c r="K280" s="354" t="str">
        <v>126178/D - PR</v>
      </c>
      <c r="L280" s="96"/>
      <c r="M280" s="105"/>
      <c r="N280" s="105"/>
      <c r="O280" s="105"/>
      <c r="W280" s="95" t="s">
        <v>108</v>
      </c>
      <c r="X280" s="759"/>
      <c r="Y280" s="759"/>
      <c r="Z280" s="759"/>
    </row>
    <row r="281" spans="3:26" x14ac:dyDescent="0.2">
      <c r="J281" s="95" t="s">
        <v>109</v>
      </c>
      <c r="K281" s="355" t="str">
        <v>1720202981529</v>
      </c>
      <c r="W281" s="95"/>
      <c r="X281" s="355"/>
    </row>
  </sheetData>
  <sheetProtection algorithmName="SHA-512" hashValue="0dkCCYq95Wpflkhbqi5QVgsY1xVXXkC50mT5gsCbzRihhsDoF2fN/wESA9Aservq6yvy3WDGNs4huhY15d9onw==" saltValue="4SuonKhsIn8g24dddNM+Zg==" spinCount="100000"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40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4" t="s">
        <v>146</v>
      </c>
      <c r="F3" s="694"/>
      <c r="G3" s="694"/>
      <c r="H3" s="694"/>
      <c r="I3" s="683" t="s">
        <v>440</v>
      </c>
      <c r="J3" s="683"/>
      <c r="K3" s="683"/>
      <c r="L3" s="112" t="s">
        <v>441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699" t="str">
        <f>Import.Proponente</f>
        <v>MUNICÍPIO DE CÉU AZUL</v>
      </c>
      <c r="F4" s="699"/>
      <c r="G4" s="699"/>
      <c r="H4" s="699"/>
      <c r="I4" s="686">
        <f>Import.CR</f>
        <v>0</v>
      </c>
      <c r="J4" s="686"/>
      <c r="K4" s="686"/>
      <c r="L4" s="73">
        <f>Import.SICONV</f>
        <v>0</v>
      </c>
      <c r="M4" s="775" t="s">
        <v>306</v>
      </c>
      <c r="N4" s="776"/>
      <c r="O4" s="777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3" t="s">
        <v>201</v>
      </c>
      <c r="F6" s="683"/>
      <c r="G6" s="683"/>
      <c r="H6" s="683"/>
      <c r="I6" s="803" t="s">
        <v>305</v>
      </c>
      <c r="J6" s="803"/>
      <c r="K6" s="803"/>
      <c r="L6" s="803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6" t="s">
        <v>208</v>
      </c>
      <c r="E7" s="686" t="str">
        <f>Import.Apelido</f>
        <v>RECAPE ASFÁLTICO NO MUNICÍPIO DE CÉU AZUL</v>
      </c>
      <c r="F7" s="686"/>
      <c r="G7" s="686"/>
      <c r="H7" s="686"/>
      <c r="I7" s="800" t="str">
        <f>Import.Município</f>
        <v>CÉU AZUL</v>
      </c>
      <c r="J7" s="800"/>
      <c r="K7" s="800"/>
      <c r="L7" s="800"/>
      <c r="M7" s="451">
        <f>Import.Repasse</f>
        <v>0</v>
      </c>
      <c r="N7" s="452">
        <f>Import.Contrapartida</f>
        <v>462522.87</v>
      </c>
      <c r="O7" s="451">
        <f>M7+N7</f>
        <v>462522.87</v>
      </c>
      <c r="P7" s="542">
        <f>IF(ACOMPANHAMENTO="PLE",PLE.Medicao,BM.medicao)</f>
        <v>1</v>
      </c>
      <c r="R7" s="185"/>
      <c r="S7" s="185"/>
      <c r="T7" s="185"/>
      <c r="U7" s="185"/>
    </row>
    <row r="8" spans="1:41" x14ac:dyDescent="0.2">
      <c r="D8" s="676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6"/>
      <c r="G9" s="801" t="s">
        <v>360</v>
      </c>
      <c r="H9" s="801"/>
      <c r="I9" s="801" t="s">
        <v>361</v>
      </c>
      <c r="J9" s="801"/>
      <c r="K9" s="453"/>
      <c r="L9" s="802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6"/>
      <c r="G10" s="688" t="str">
        <f ca="1">IF(J10="-","-",IF($P$24&lt;J10,"Atrasada",IF($P$24&gt;J10,"Adiantada","Normal")))</f>
        <v>Normal</v>
      </c>
      <c r="H10" s="688"/>
      <c r="I10" s="456">
        <f ca="1">DATE(YEAR($L$35),MONTH($L$35),1)</f>
        <v>44105</v>
      </c>
      <c r="J10" s="457">
        <f ca="1">IF($I$10&lt;DATE(YEAR(CRONO!$T$13),MONTH(CRONO!$T$13),1),0,IF($I$10&gt;CRONO!$AE$13,1,INDEX(CRONO!$S$170:$AG$170,MATCH(RRE!$I$10,CRONO!$S$13:$AG$13,0))))</f>
        <v>0</v>
      </c>
      <c r="K10" s="453"/>
      <c r="L10" s="802"/>
      <c r="M10" s="458">
        <f ca="1">QCI!L10</f>
        <v>0</v>
      </c>
      <c r="N10" s="365">
        <f ca="1">QCI!M10</f>
        <v>0</v>
      </c>
      <c r="P10" s="455"/>
      <c r="R10" s="185"/>
      <c r="S10" s="185"/>
      <c r="T10" s="185"/>
      <c r="U10" s="185"/>
      <c r="AC10" s="797" t="s">
        <v>363</v>
      </c>
      <c r="AD10" s="797"/>
      <c r="AE10" s="797"/>
      <c r="AF10" s="797"/>
      <c r="AG10" s="797"/>
      <c r="AH10" s="797"/>
      <c r="AJ10" s="797" t="s">
        <v>4</v>
      </c>
      <c r="AK10" s="797"/>
      <c r="AL10" s="797"/>
      <c r="AM10" s="797"/>
      <c r="AN10" s="797"/>
      <c r="AO10" s="797"/>
    </row>
    <row r="11" spans="1:41" ht="20.100000000000001" customHeight="1" x14ac:dyDescent="0.2">
      <c r="D11" s="676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8" t="str">
        <f>IF(CAIXA.Modo,"Valores Aferidos (R$)","Valores Medidos (R$)")</f>
        <v>Valores Medidos (R$)</v>
      </c>
      <c r="Z11" s="798"/>
      <c r="AC11" s="799" t="s">
        <v>364</v>
      </c>
      <c r="AD11" s="799"/>
      <c r="AE11" s="799"/>
      <c r="AF11" s="799" t="s">
        <v>365</v>
      </c>
      <c r="AG11" s="799"/>
      <c r="AH11" s="799"/>
      <c r="AJ11" s="799" t="s">
        <v>364</v>
      </c>
      <c r="AK11" s="799"/>
      <c r="AL11" s="799"/>
      <c r="AM11" s="799" t="s">
        <v>365</v>
      </c>
      <c r="AN11" s="799"/>
      <c r="AO11" s="799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 t="e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#N/A</v>
      </c>
      <c r="AD12" s="234" t="e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#N/A</v>
      </c>
      <c r="AE12" s="234" t="e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#N/A</v>
      </c>
      <c r="AF12" s="234" t="e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#N/A</v>
      </c>
      <c r="AG12" s="234" t="e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#N/A</v>
      </c>
      <c r="AH12" s="234" t="e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#N/A</v>
      </c>
      <c r="AJ12" s="234">
        <f ca="1">IF(ACOMPANHAMENTO&lt;&gt;"BM",0,SUMPRODUCT(OFFSET(BM!$M$15,$A12,0,$B12)*(OFFSET(BM!$A$15,$A12,0,$B12)="S")*OFFSET(ORÇAMENTO!AA$15,$A12,0,$B12)/(OFFSET(ORÇAMENTO!$X$15,$A12,0,$B12)+10^-12)))</f>
        <v>0</v>
      </c>
      <c r="AK12" s="234">
        <f ca="1">IF(ACOMPANHAMENTO&lt;&gt;"BM",0,SUMPRODUCT(OFFSET(BM!$M$15,$A12,0,$B12)*(OFFSET(BM!$A$15,$A12,0,$B12)="S")*OFFSET(ORÇAMENTO!AB$15,$A12,0,$B12)/(OFFSET(ORÇAMENTO!$X$15,$A12,0,$B12)+10^-12)))</f>
        <v>0</v>
      </c>
      <c r="AL12" s="234">
        <f ca="1">IF(ACOMPANHAMENTO&lt;&gt;"BM",0,OFFSET(BM!$M$15,$A12,0))</f>
        <v>0</v>
      </c>
      <c r="AM12" s="234">
        <f ca="1">IF(ACOMPANHAMENTO&lt;&gt;"BM",0,SUMPRODUCT(OFFSET(BM!$O$15,$A12,0,$B12)*(OFFSET(BM!$A$15,$A12,0,$B12)="S")*OFFSET(ORÇAMENTO!AA$15,$A12,0,$B12)/(OFFSET(ORÇAMENTO!$X$15,$A12,0,$B12)+10^-12)))</f>
        <v>0</v>
      </c>
      <c r="AN12" s="234">
        <f ca="1">IF(ACOMPANHAMENTO&lt;&gt;"BM",0,SUMPRODUCT(OFFSET(BM!$O$15,$A12,0,$B12)*(OFFSET(BM!$A$15,$A12,0,$B12)="S")*OFFSET(ORÇAMENTO!AB$15,$A12,0,$B12)/(OFFSET(ORÇAMENTO!$X$15,$A12,0,$B12)+10^-12)))</f>
        <v>0</v>
      </c>
      <c r="AO12" s="234">
        <f ca="1">IF(ACOMPANHAMENTO&lt;&gt;"BM",0,OFFSET(BM!$O$15,$A12,0))</f>
        <v>0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ht="38.25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RECAPE ASFÁLTICO EM DIVERSAS RUAS DO MINICÍPIO DE CÉU AZUL</v>
      </c>
      <c r="G14" s="463" t="str">
        <f>QCI!H14</f>
        <v>Análise Concluída / A Licitar</v>
      </c>
      <c r="H14" s="464">
        <f>QCI!I14</f>
        <v>7369.47</v>
      </c>
      <c r="I14" s="465" t="str">
        <f ca="1">QCI!J14</f>
        <v>m²</v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462522.87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1">
        <f>QCI!D15</f>
        <v>2</v>
      </c>
      <c r="F15" s="462" t="str">
        <f ca="1">QCI!G15</f>
        <v/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/>
      </c>
      <c r="K15" s="467" t="str">
        <f t="shared" ca="1" si="1"/>
        <v/>
      </c>
      <c r="L15" s="468">
        <f ca="1">QCI!$O15</f>
        <v>0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 t="e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#N/A</v>
      </c>
      <c r="AD15" s="234" t="e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#N/A</v>
      </c>
      <c r="AE15" s="234" t="e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#N/A</v>
      </c>
      <c r="AF15" s="234" t="e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#N/A</v>
      </c>
      <c r="AG15" s="234" t="e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#N/A</v>
      </c>
      <c r="AH15" s="234" t="e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#N/A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 t="e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#N/A</v>
      </c>
      <c r="AD16" s="234" t="e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#N/A</v>
      </c>
      <c r="AE16" s="234" t="e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#N/A</v>
      </c>
      <c r="AF16" s="234" t="e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#N/A</v>
      </c>
      <c r="AG16" s="234" t="e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#N/A</v>
      </c>
      <c r="AH16" s="234" t="e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#N/A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 t="e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#N/A</v>
      </c>
      <c r="AD17" s="234" t="e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#N/A</v>
      </c>
      <c r="AE17" s="234" t="e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#N/A</v>
      </c>
      <c r="AF17" s="234" t="e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#N/A</v>
      </c>
      <c r="AG17" s="234" t="e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#N/A</v>
      </c>
      <c r="AH17" s="234" t="e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#N/A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 t="e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#N/A</v>
      </c>
      <c r="AD18" s="234" t="e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#N/A</v>
      </c>
      <c r="AE18" s="234" t="e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#N/A</v>
      </c>
      <c r="AF18" s="234" t="e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#N/A</v>
      </c>
      <c r="AG18" s="234" t="e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#N/A</v>
      </c>
      <c r="AH18" s="234" t="e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#N/A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 t="e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#N/A</v>
      </c>
      <c r="AD19" s="234" t="e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#N/A</v>
      </c>
      <c r="AE19" s="234" t="e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#N/A</v>
      </c>
      <c r="AF19" s="234" t="e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#N/A</v>
      </c>
      <c r="AG19" s="234" t="e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#N/A</v>
      </c>
      <c r="AH19" s="234" t="e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#N/A</v>
      </c>
      <c r="AJ19" s="234">
        <f ca="1">IF(ACOMPANHAMENTO&lt;&gt;"BM",0,SUMPRODUCT(OFFSET(BM!$M$15,$A19,0,$B19)*(OFFSET(BM!$A$15,$A19,0,$B19)="S")*OFFSET(ORÇAMENTO!AA$15,$A19,0,$B19)/(OFFSET(ORÇAMENTO!$X$15,$A19,0,$B19)+10^-12)))</f>
        <v>0</v>
      </c>
      <c r="AK19" s="234">
        <f ca="1">IF(ACOMPANHAMENTO&lt;&gt;"BM",0,SUMPRODUCT(OFFSET(BM!$M$15,$A19,0,$B19)*(OFFSET(BM!$A$15,$A19,0,$B19)="S")*OFFSET(ORÇAMENTO!AB$15,$A19,0,$B19)/(OFFSET(ORÇAMENTO!$X$15,$A19,0,$B19)+10^-12)))</f>
        <v>0</v>
      </c>
      <c r="AL19" s="234">
        <f ca="1">IF(ACOMPANHAMENTO&lt;&gt;"BM",0,OFFSET(BM!$M$15,$A19,0))</f>
        <v>0</v>
      </c>
      <c r="AM19" s="234">
        <f ca="1">IF(ACOMPANHAMENTO&lt;&gt;"BM",0,SUMPRODUCT(OFFSET(BM!$O$15,$A19,0,$B19)*(OFFSET(BM!$A$15,$A19,0,$B19)="S")*OFFSET(ORÇAMENTO!AA$15,$A19,0,$B19)/(OFFSET(ORÇAMENTO!$X$15,$A19,0,$B19)+10^-12)))</f>
        <v>0</v>
      </c>
      <c r="AN19" s="234">
        <f ca="1">IF(ACOMPANHAMENTO&lt;&gt;"BM",0,SUMPRODUCT(OFFSET(BM!$O$15,$A19,0,$B19)*(OFFSET(BM!$A$15,$A19,0,$B19)="S")*OFFSET(ORÇAMENTO!AB$15,$A19,0,$B19)/(OFFSET(ORÇAMENTO!$X$15,$A19,0,$B19)+10^-12)))</f>
        <v>0</v>
      </c>
      <c r="AO19" s="234">
        <f ca="1">IF(ACOMPANHAMENTO&lt;&gt;"BM",0,OFFSET(BM!$O$15,$A19,0))</f>
        <v>0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 t="e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#N/A</v>
      </c>
      <c r="AD20" s="234" t="e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#N/A</v>
      </c>
      <c r="AE20" s="234" t="e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#N/A</v>
      </c>
      <c r="AF20" s="234" t="e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#N/A</v>
      </c>
      <c r="AG20" s="234" t="e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#N/A</v>
      </c>
      <c r="AH20" s="234" t="e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#N/A</v>
      </c>
      <c r="AJ20" s="234">
        <f ca="1">IF(ACOMPANHAMENTO&lt;&gt;"BM",0,SUMPRODUCT(OFFSET(BM!$M$15,$A20,0,$B20)*(OFFSET(BM!$A$15,$A20,0,$B20)="S")*OFFSET(ORÇAMENTO!AA$15,$A20,0,$B20)/(OFFSET(ORÇAMENTO!$X$15,$A20,0,$B20)+10^-12)))</f>
        <v>0</v>
      </c>
      <c r="AK20" s="234">
        <f ca="1">IF(ACOMPANHAMENTO&lt;&gt;"BM",0,SUMPRODUCT(OFFSET(BM!$M$15,$A20,0,$B20)*(OFFSET(BM!$A$15,$A20,0,$B20)="S")*OFFSET(ORÇAMENTO!AB$15,$A20,0,$B20)/(OFFSET(ORÇAMENTO!$X$15,$A20,0,$B20)+10^-12)))</f>
        <v>0</v>
      </c>
      <c r="AL20" s="234">
        <f ca="1">IF(ACOMPANHAMENTO&lt;&gt;"BM",0,OFFSET(BM!$M$15,$A20,0))</f>
        <v>0</v>
      </c>
      <c r="AM20" s="234">
        <f ca="1">IF(ACOMPANHAMENTO&lt;&gt;"BM",0,SUMPRODUCT(OFFSET(BM!$O$15,$A20,0,$B20)*(OFFSET(BM!$A$15,$A20,0,$B20)="S")*OFFSET(ORÇAMENTO!AA$15,$A20,0,$B20)/(OFFSET(ORÇAMENTO!$X$15,$A20,0,$B20)+10^-12)))</f>
        <v>0</v>
      </c>
      <c r="AN20" s="234">
        <f ca="1">IF(ACOMPANHAMENTO&lt;&gt;"BM",0,SUMPRODUCT(OFFSET(BM!$O$15,$A20,0,$B20)*(OFFSET(BM!$A$15,$A20,0,$B20)="S")*OFFSET(ORÇAMENTO!AB$15,$A20,0,$B20)/(OFFSET(ORÇAMENTO!$X$15,$A20,0,$B20)+10^-12)))</f>
        <v>0</v>
      </c>
      <c r="AO20" s="234">
        <f ca="1">IF(ACOMPANHAMENTO&lt;&gt;"BM",0,OFFSET(BM!$O$15,$A20,0))</f>
        <v>0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 t="e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#N/A</v>
      </c>
      <c r="AD21" s="234" t="e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#N/A</v>
      </c>
      <c r="AE21" s="234" t="e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#N/A</v>
      </c>
      <c r="AF21" s="234" t="e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#N/A</v>
      </c>
      <c r="AG21" s="234" t="e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#N/A</v>
      </c>
      <c r="AH21" s="234" t="e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#N/A</v>
      </c>
      <c r="AJ21" s="234">
        <f ca="1">IF(ACOMPANHAMENTO&lt;&gt;"BM",0,SUMPRODUCT(OFFSET(BM!$M$15,$A21,0,$B21)*(OFFSET(BM!$A$15,$A21,0,$B21)="S")*OFFSET(ORÇAMENTO!AA$15,$A21,0,$B21)/(OFFSET(ORÇAMENTO!$X$15,$A21,0,$B21)+10^-12)))</f>
        <v>0</v>
      </c>
      <c r="AK21" s="234">
        <f ca="1">IF(ACOMPANHAMENTO&lt;&gt;"BM",0,SUMPRODUCT(OFFSET(BM!$M$15,$A21,0,$B21)*(OFFSET(BM!$A$15,$A21,0,$B21)="S")*OFFSET(ORÇAMENTO!AB$15,$A21,0,$B21)/(OFFSET(ORÇAMENTO!$X$15,$A21,0,$B21)+10^-12)))</f>
        <v>0</v>
      </c>
      <c r="AL21" s="234">
        <f ca="1">IF(ACOMPANHAMENTO&lt;&gt;"BM",0,OFFSET(BM!$M$15,$A21,0))</f>
        <v>0</v>
      </c>
      <c r="AM21" s="234">
        <f ca="1">IF(ACOMPANHAMENTO&lt;&gt;"BM",0,SUMPRODUCT(OFFSET(BM!$O$15,$A21,0,$B21)*(OFFSET(BM!$A$15,$A21,0,$B21)="S")*OFFSET(ORÇAMENTO!AA$15,$A21,0,$B21)/(OFFSET(ORÇAMENTO!$X$15,$A21,0,$B21)+10^-12)))</f>
        <v>0</v>
      </c>
      <c r="AN21" s="234">
        <f ca="1">IF(ACOMPANHAMENTO&lt;&gt;"BM",0,SUMPRODUCT(OFFSET(BM!$O$15,$A21,0,$B21)*(OFFSET(BM!$A$15,$A21,0,$B21)="S")*OFFSET(ORÇAMENTO!AB$15,$A21,0,$B21)/(OFFSET(ORÇAMENTO!$X$15,$A21,0,$B21)+10^-12)))</f>
        <v>0</v>
      </c>
      <c r="AO21" s="234">
        <f ca="1">IF(ACOMPANHAMENTO&lt;&gt;"BM",0,OFFSET(BM!$O$15,$A21,0))</f>
        <v>0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 t="e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#N/A</v>
      </c>
      <c r="AD22" s="234" t="e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#N/A</v>
      </c>
      <c r="AE22" s="234" t="e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#N/A</v>
      </c>
      <c r="AF22" s="234" t="e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#N/A</v>
      </c>
      <c r="AG22" s="234" t="e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#N/A</v>
      </c>
      <c r="AH22" s="234" t="e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#N/A</v>
      </c>
      <c r="AJ22" s="234">
        <f ca="1">IF(ACOMPANHAMENTO&lt;&gt;"BM",0,SUMPRODUCT(OFFSET(BM!$M$15,$A22,0,$B22)*(OFFSET(BM!$A$15,$A22,0,$B22)="S")*OFFSET(ORÇAMENTO!AA$15,$A22,0,$B22)/(OFFSET(ORÇAMENTO!$X$15,$A22,0,$B22)+10^-12)))</f>
        <v>0</v>
      </c>
      <c r="AK22" s="234">
        <f ca="1">IF(ACOMPANHAMENTO&lt;&gt;"BM",0,SUMPRODUCT(OFFSET(BM!$M$15,$A22,0,$B22)*(OFFSET(BM!$A$15,$A22,0,$B22)="S")*OFFSET(ORÇAMENTO!AB$15,$A22,0,$B22)/(OFFSET(ORÇAMENTO!$X$15,$A22,0,$B22)+10^-12)))</f>
        <v>0</v>
      </c>
      <c r="AL22" s="234">
        <f ca="1">IF(ACOMPANHAMENTO&lt;&gt;"BM",0,OFFSET(BM!$M$15,$A22,0))</f>
        <v>0</v>
      </c>
      <c r="AM22" s="234">
        <f ca="1">IF(ACOMPANHAMENTO&lt;&gt;"BM",0,SUMPRODUCT(OFFSET(BM!$O$15,$A22,0,$B22)*(OFFSET(BM!$A$15,$A22,0,$B22)="S")*OFFSET(ORÇAMENTO!AA$15,$A22,0,$B22)/(OFFSET(ORÇAMENTO!$X$15,$A22,0,$B22)+10^-12)))</f>
        <v>0</v>
      </c>
      <c r="AN22" s="234">
        <f ca="1">IF(ACOMPANHAMENTO&lt;&gt;"BM",0,SUMPRODUCT(OFFSET(BM!$O$15,$A22,0,$B22)*(OFFSET(BM!$A$15,$A22,0,$B22)="S")*OFFSET(ORÇAMENTO!AB$15,$A22,0,$B22)/(OFFSET(ORÇAMENTO!$X$15,$A22,0,$B22)+10^-12)))</f>
        <v>0</v>
      </c>
      <c r="AO22" s="234">
        <f ca="1">IF(ACOMPANHAMENTO&lt;&gt;"BM",0,OFFSET(BM!$O$15,$A22,0))</f>
        <v>0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 t="e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#N/A</v>
      </c>
      <c r="AD23" s="234" t="e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#N/A</v>
      </c>
      <c r="AE23" s="234" t="e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#N/A</v>
      </c>
      <c r="AF23" s="234" t="e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#N/A</v>
      </c>
      <c r="AG23" s="234" t="e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#N/A</v>
      </c>
      <c r="AH23" s="234" t="e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#N/A</v>
      </c>
      <c r="AJ23" s="234">
        <f ca="1">IF(ACOMPANHAMENTO&lt;&gt;"BM",0,SUMPRODUCT(OFFSET(BM!$M$15,$A23,0,$B23)*(OFFSET(BM!$A$15,$A23,0,$B23)="S")*OFFSET(ORÇAMENTO!AA$15,$A23,0,$B23)/(OFFSET(ORÇAMENTO!$X$15,$A23,0,$B23)+10^-12)))</f>
        <v>0</v>
      </c>
      <c r="AK23" s="234">
        <f ca="1">IF(ACOMPANHAMENTO&lt;&gt;"BM",0,SUMPRODUCT(OFFSET(BM!$M$15,$A23,0,$B23)*(OFFSET(BM!$A$15,$A23,0,$B23)="S")*OFFSET(ORÇAMENTO!AB$15,$A23,0,$B23)/(OFFSET(ORÇAMENTO!$X$15,$A23,0,$B23)+10^-12)))</f>
        <v>0</v>
      </c>
      <c r="AL23" s="234">
        <f ca="1">IF(ACOMPANHAMENTO&lt;&gt;"BM",0,OFFSET(BM!$M$15,$A23,0))</f>
        <v>0</v>
      </c>
      <c r="AM23" s="234">
        <f ca="1">IF(ACOMPANHAMENTO&lt;&gt;"BM",0,SUMPRODUCT(OFFSET(BM!$O$15,$A23,0,$B23)*(OFFSET(BM!$A$15,$A23,0,$B23)="S")*OFFSET(ORÇAMENTO!AA$15,$A23,0,$B23)/(OFFSET(ORÇAMENTO!$X$15,$A23,0,$B23)+10^-12)))</f>
        <v>0</v>
      </c>
      <c r="AN23" s="234">
        <f ca="1">IF(ACOMPANHAMENTO&lt;&gt;"BM",0,SUMPRODUCT(OFFSET(BM!$O$15,$A23,0,$B23)*(OFFSET(BM!$A$15,$A23,0,$B23)="S")*OFFSET(ORÇAMENTO!AB$15,$A23,0,$B23)/(OFFSET(ORÇAMENTO!$X$15,$A23,0,$B23)+10^-12)))</f>
        <v>0</v>
      </c>
      <c r="AO23" s="234">
        <f ca="1">IF(ACOMPANHAMENTO&lt;&gt;"BM",0,OFFSET(BM!$O$15,$A23,0))</f>
        <v>0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5" t="s">
        <v>375</v>
      </c>
      <c r="K24" s="786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7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8" t="str">
        <f>IF(import.recurso="FGTS","Financiamento","Repasse")</f>
        <v>Repasse</v>
      </c>
      <c r="K25" s="789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7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0" t="s">
        <v>380</v>
      </c>
      <c r="K26" s="791"/>
      <c r="L26" s="490">
        <f ca="1">QCI!M24</f>
        <v>462522.87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7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2" t="s">
        <v>357</v>
      </c>
      <c r="K27" s="79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7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4" t="s">
        <v>359</v>
      </c>
      <c r="K28" s="795"/>
      <c r="L28" s="501">
        <f ca="1">SUM(L13:OFFSET(L24,-1,0))</f>
        <v>462522.87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7"/>
      <c r="X28" s="505"/>
      <c r="Y28" s="506"/>
      <c r="Z28" s="507"/>
    </row>
    <row r="29" spans="1:41" x14ac:dyDescent="0.2">
      <c r="O29" s="796" t="str">
        <f ca="1">"Acumulado Anterior:  "&amp;TEXT($M$28/($L$28+10^-12),"0,00%")</f>
        <v>Acumulado Anterior:  0,00%</v>
      </c>
      <c r="P29" s="79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8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80"/>
      <c r="R31" s="106"/>
      <c r="S31" s="106"/>
      <c r="T31" s="106"/>
      <c r="U31" s="106"/>
    </row>
    <row r="32" spans="1:41" ht="12.75" customHeight="1" x14ac:dyDescent="0.2">
      <c r="E32" s="778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80"/>
      <c r="R32" s="106"/>
      <c r="S32" s="106"/>
      <c r="T32" s="106"/>
      <c r="U32" s="106"/>
      <c r="Y32" s="508"/>
      <c r="Z32" s="508"/>
    </row>
    <row r="33" spans="5:21" ht="12.75" customHeight="1" x14ac:dyDescent="0.2">
      <c r="E33" s="781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5" t="str">
        <f>Import.Município</f>
        <v>CÉU AZUL</v>
      </c>
      <c r="F35" s="705"/>
      <c r="G35" s="705"/>
      <c r="I35" s="509"/>
      <c r="J35" s="101"/>
      <c r="L35" s="715">
        <f ca="1">DADOS!$F$25</f>
        <v>44134</v>
      </c>
      <c r="M35" s="715"/>
      <c r="N35" s="715"/>
      <c r="O35" s="715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GERMANO BONAMIGO</v>
      </c>
      <c r="L40" s="95" t="s">
        <v>107</v>
      </c>
      <c r="M40" s="784" t="str">
        <f>IF(CAIXA.Modo,BM!X278,DADOS!F50)</f>
        <v>GUSTAVO FRANCESCHINI</v>
      </c>
      <c r="N40" s="784"/>
      <c r="O40" s="784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84" t="str">
        <f>IF(CAIXA.Modo,BM!X279,DADOS!F51)</f>
        <v>ENGENHEIRO CIVIL</v>
      </c>
      <c r="N41" s="784"/>
      <c r="O41" s="784"/>
      <c r="R41" s="106"/>
      <c r="S41" s="106"/>
      <c r="T41" s="106"/>
      <c r="U41" s="106"/>
    </row>
    <row r="42" spans="5:21" x14ac:dyDescent="0.2">
      <c r="L42" s="95" t="s">
        <v>108</v>
      </c>
      <c r="M42" s="784" t="str">
        <f>IF(CAIXA.Modo,BM!X280,DADOS!F52)</f>
        <v>126178/D - PR</v>
      </c>
      <c r="N42" s="784"/>
      <c r="O42" s="784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 t="str">
        <f>IF(CAIXA.Modo,"",DADOS!F53)</f>
        <v>1720202981529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59"/>
      <c r="G47" s="759"/>
      <c r="L47" s="95" t="s">
        <v>107</v>
      </c>
      <c r="M47" s="759"/>
      <c r="N47" s="759"/>
      <c r="O47" s="759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59"/>
      <c r="G48" s="759"/>
      <c r="L48" s="95" t="str">
        <f>IF(CAIXA.Modo,"Função:","Cargo:")</f>
        <v>Cargo:</v>
      </c>
      <c r="M48" s="759"/>
      <c r="N48" s="759"/>
      <c r="O48" s="759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59"/>
      <c r="G49" s="759"/>
      <c r="L49" s="95" t="str">
        <f>IF(CAIXA.Modo,"Matrícula:","")</f>
        <v/>
      </c>
      <c r="M49" s="759"/>
      <c r="N49" s="759"/>
      <c r="O49" s="759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algorithmName="SHA-512" hashValue="CbjcVleFtAMbErpjl/Y9hAz7X91eOnhsWk+adTs3bEwGqHwj/cq8rBz5w3C0wlDO1aXtcLc1IBlYsqSMLPRGWw==" saltValue="ZmW8CKBwR4eWo0bxiFFwVA==" spinCount="100000"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40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2"/>
      <c r="C1" s="822"/>
      <c r="D1" s="66"/>
      <c r="E1" s="66"/>
      <c r="F1" s="66"/>
      <c r="G1" s="656" t="s">
        <v>139</v>
      </c>
    </row>
    <row r="2" spans="2:17" x14ac:dyDescent="0.2">
      <c r="B2" s="822"/>
      <c r="C2" s="822"/>
      <c r="D2" s="511"/>
      <c r="E2" s="511"/>
      <c r="F2" s="511"/>
      <c r="G2" s="657" t="s">
        <v>381</v>
      </c>
    </row>
    <row r="3" spans="2:17" ht="26.1" customHeight="1" x14ac:dyDescent="0.2">
      <c r="B3" s="822"/>
      <c r="C3" s="822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2"/>
      <c r="C4" s="822"/>
      <c r="D4" s="511"/>
      <c r="E4" s="511"/>
      <c r="F4" s="511"/>
      <c r="G4" s="511"/>
      <c r="I4" s="823" t="s">
        <v>383</v>
      </c>
      <c r="J4" s="819" t="s">
        <v>384</v>
      </c>
      <c r="K4" s="819" t="s">
        <v>385</v>
      </c>
      <c r="L4" s="819" t="s">
        <v>386</v>
      </c>
    </row>
    <row r="5" spans="2:17" x14ac:dyDescent="0.2">
      <c r="I5" s="823"/>
      <c r="J5" s="819"/>
      <c r="K5" s="819"/>
      <c r="L5" s="819"/>
    </row>
    <row r="6" spans="2:17" x14ac:dyDescent="0.2">
      <c r="B6" s="636" t="s">
        <v>387</v>
      </c>
      <c r="C6" s="820"/>
      <c r="D6" s="820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462522.87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1" t="str">
        <f ca="1">CONCATENATE(RRE!$E$35,", ",TEXT(RRE!$L$35,"dd"" de ""mmmm"" de ""aaaa"))</f>
        <v>CÉU AZUL, 30 de outubro de 2020</v>
      </c>
      <c r="C8" s="821"/>
      <c r="D8" s="821"/>
      <c r="E8" s="821"/>
      <c r="F8" s="821"/>
      <c r="G8" s="821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5" t="s">
        <v>389</v>
      </c>
      <c r="C10" s="815"/>
      <c r="D10" s="815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442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5" t="str">
        <f ca="1">CONCATENATE(RRE.Numero,"ª"," Solicitação de ",IF(import.recurso="OGU","Desbloqueio","Desembolso")," de Recursos.")</f>
        <v>1ª Solicitação de Desembolso de Recursos.</v>
      </c>
      <c r="D14" s="815"/>
      <c r="E14" s="815"/>
      <c r="F14" s="815"/>
      <c r="G14" s="815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6"/>
      <c r="E15" s="816"/>
      <c r="F15" s="816"/>
      <c r="G15" s="816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6"/>
      <c r="D16" s="816"/>
      <c r="E16" s="816"/>
      <c r="F16" s="816"/>
      <c r="G16" s="816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7" t="str">
        <f>Import.DescLote</f>
        <v>RECAPE ASFÁLTICO EM DIVERSAS RUAS DO MUNICÍPIO</v>
      </c>
      <c r="D18" s="817"/>
      <c r="E18" s="817"/>
      <c r="F18" s="817"/>
      <c r="G18" s="817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MUNICÍPIO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8"/>
      <c r="E29" s="818"/>
      <c r="F29" s="818"/>
      <c r="G29" s="818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6" t="str">
        <f>IF(import.recurso="FGTS","Financiamento:","Repasse:")</f>
        <v>Repasse:</v>
      </c>
      <c r="C30" s="806"/>
      <c r="D30" s="648">
        <f ca="1">RRE!L25</f>
        <v>0</v>
      </c>
      <c r="E30" s="648">
        <f ca="1">RRE!N25</f>
        <v>0</v>
      </c>
      <c r="F30" s="807">
        <f ca="1">RRE!O25</f>
        <v>0</v>
      </c>
      <c r="G30" s="807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6" t="s">
        <v>396</v>
      </c>
      <c r="C31" s="806"/>
      <c r="D31" s="648">
        <f ca="1">RRE!L26</f>
        <v>462522.87</v>
      </c>
      <c r="E31" s="648">
        <f ca="1">RRE!N26</f>
        <v>0</v>
      </c>
      <c r="F31" s="807">
        <f ca="1">RRE!O26</f>
        <v>0</v>
      </c>
      <c r="G31" s="807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6" t="s">
        <v>284</v>
      </c>
      <c r="C32" s="806"/>
      <c r="D32" s="648">
        <f ca="1">RRE!L27</f>
        <v>0</v>
      </c>
      <c r="E32" s="648">
        <f ca="1">RRE!N27</f>
        <v>0</v>
      </c>
      <c r="F32" s="807">
        <f ca="1">RRE!O27</f>
        <v>0</v>
      </c>
      <c r="G32" s="807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6" t="s">
        <v>285</v>
      </c>
      <c r="C33" s="806"/>
      <c r="D33" s="648">
        <f ca="1">RRE!L28</f>
        <v>462522.87</v>
      </c>
      <c r="E33" s="648">
        <f ca="1">RRE!N28</f>
        <v>0</v>
      </c>
      <c r="F33" s="807">
        <f ca="1">RRE!O28</f>
        <v>0</v>
      </c>
      <c r="G33" s="807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6" t="s">
        <v>397</v>
      </c>
      <c r="C34" s="806"/>
      <c r="D34" s="649" t="s">
        <v>165</v>
      </c>
      <c r="E34" s="650">
        <f ca="1">RRE!$N$28/(RRE!$L$28+10^-12)</f>
        <v>0</v>
      </c>
      <c r="F34" s="808">
        <f ca="1">RRE!P24</f>
        <v>0</v>
      </c>
      <c r="G34" s="808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09" t="str">
        <f ca="1">IF(RRE.Numero&gt;1,"2. Encaminhamos ainda a documentação relativa à prestação de contas da etapa físico-financeira anterior.","")</f>
        <v/>
      </c>
      <c r="C37" s="809"/>
      <c r="D37" s="809"/>
      <c r="E37" s="809"/>
      <c r="F37" s="809"/>
      <c r="G37" s="809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09"/>
      <c r="C38" s="809"/>
      <c r="D38" s="809"/>
      <c r="E38" s="809"/>
      <c r="F38" s="809"/>
      <c r="G38" s="809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09" t="str">
        <f ca="1">IF(AND(RRE.Numero&gt;1,NOT(ISBLANK(Import.SICONV))),"3. Na oportunidade, informamos que a execução financeira da parcela anterior está devidamente comprovada no SICONV.","")</f>
        <v/>
      </c>
      <c r="C39" s="809"/>
      <c r="D39" s="809"/>
      <c r="E39" s="809"/>
      <c r="F39" s="809"/>
      <c r="G39" s="809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09"/>
      <c r="C40" s="809"/>
      <c r="D40" s="809"/>
      <c r="E40" s="809"/>
      <c r="F40" s="809"/>
      <c r="G40" s="809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09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09"/>
      <c r="D42" s="809"/>
      <c r="E42" s="809"/>
      <c r="F42" s="809"/>
      <c r="G42" s="809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09"/>
      <c r="C43" s="809"/>
      <c r="D43" s="809"/>
      <c r="E43" s="809"/>
      <c r="F43" s="809"/>
      <c r="G43" s="809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09"/>
      <c r="C44" s="809"/>
      <c r="D44" s="809"/>
      <c r="E44" s="809"/>
      <c r="F44" s="809"/>
      <c r="G44" s="809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09"/>
      <c r="C45" s="809"/>
      <c r="D45" s="809"/>
      <c r="E45" s="809"/>
      <c r="F45" s="809"/>
      <c r="G45" s="809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09"/>
      <c r="C46" s="809"/>
      <c r="D46" s="809"/>
      <c r="E46" s="809"/>
      <c r="F46" s="809"/>
      <c r="G46" s="809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4" t="str">
        <f>DADOS!$F$28</f>
        <v>GERMANO BONAMIGO</v>
      </c>
      <c r="C54" s="804"/>
      <c r="D54" s="804"/>
      <c r="E54" s="804"/>
      <c r="F54" s="804"/>
      <c r="G54" s="804"/>
    </row>
    <row r="55" spans="2:7" x14ac:dyDescent="0.2">
      <c r="B55" s="804" t="str">
        <f>DADOS!$F$29</f>
        <v>PREFEITO</v>
      </c>
      <c r="C55" s="804"/>
      <c r="D55" s="804"/>
      <c r="E55" s="804"/>
      <c r="F55" s="804"/>
      <c r="G55" s="804"/>
    </row>
    <row r="56" spans="2:7" x14ac:dyDescent="0.2">
      <c r="B56" s="805"/>
      <c r="C56" s="805"/>
      <c r="D56" s="805"/>
      <c r="E56" s="805"/>
      <c r="F56" s="805"/>
      <c r="G56" s="805"/>
    </row>
    <row r="57" spans="2:7" x14ac:dyDescent="0.2">
      <c r="B57" s="647"/>
      <c r="C57" s="647"/>
      <c r="D57" s="647"/>
      <c r="E57" s="647"/>
      <c r="F57" s="647"/>
      <c r="G57" s="647"/>
    </row>
  </sheetData>
  <sheetProtection algorithmName="SHA-512" hashValue="yzOkp7MCajA1jX6hBlmN7FnwRsEhHfreVITMHNJS1alO60oKTZnvLbyVQ0A41QuZ2wIJhT8mmABRYgCMKUptCA==" saltValue="dY+O8+VgPfWnuVN26HhxhQ==" spinCount="100000"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40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Francielly</cp:lastModifiedBy>
  <cp:revision>5</cp:revision>
  <cp:lastPrinted>2020-10-30T16:49:31Z</cp:lastPrinted>
  <dcterms:created xsi:type="dcterms:W3CDTF">1997-01-10T22:22:50Z</dcterms:created>
  <dcterms:modified xsi:type="dcterms:W3CDTF">2020-10-30T16:50:38Z</dcterms:modified>
</cp:coreProperties>
</file>